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30118\produktivitet\"/>
    </mc:Choice>
  </mc:AlternateContent>
  <bookViews>
    <workbookView xWindow="0" yWindow="0" windowWidth="25125" windowHeight="11835" tabRatio="686" firstSheet="1" activeTab="10"/>
  </bookViews>
  <sheets>
    <sheet name="(skema1-7_2015 - 15pl)" sheetId="32" r:id="rId1"/>
    <sheet name="Skema1-7_2015" sheetId="24" r:id="rId2"/>
    <sheet name="Skema1-7_2016" sheetId="23" r:id="rId3"/>
    <sheet name="Skema1-7_forskel" sheetId="29" r:id="rId4"/>
    <sheet name="DTD_15" sheetId="25" r:id="rId5"/>
    <sheet name="DTD_16" sheetId="5" r:id="rId6"/>
    <sheet name="DTD_forskel" sheetId="30" r:id="rId7"/>
    <sheet name="DRG_15" sheetId="27" r:id="rId8"/>
    <sheet name="DRG_16" sheetId="26" r:id="rId9"/>
    <sheet name="DRG_forskel" sheetId="31" r:id="rId10"/>
    <sheet name="produktivitet" sheetId="7" r:id="rId11"/>
    <sheet name="Dokumentation" sheetId="33" r:id="rId12"/>
    <sheet name="Medicin produktionssiden 2015" sheetId="59" r:id="rId13"/>
    <sheet name="Medicin produktionssiden 2016" sheetId="60" r:id="rId14"/>
    <sheet name="Regionsspecifikke korrektioner" sheetId="55" r:id="rId15"/>
  </sheets>
  <definedNames>
    <definedName name="_xlnm._FilterDatabase" localSheetId="12" hidden="1">'Medicin produktionssiden 2015'!$B$1:$B$1083</definedName>
    <definedName name="_xlnm._FilterDatabase" localSheetId="13" hidden="1">'Medicin produktionssiden 2016'!$B$1:$B$1121</definedName>
    <definedName name="Print_Area" localSheetId="7">DRG_15!$A$1:$I$28</definedName>
    <definedName name="Print_Area" localSheetId="8">DRG_16!$A$1:$I$28</definedName>
    <definedName name="Print_Area" localSheetId="9">DRG_forskel!$A$1:$H$28</definedName>
    <definedName name="Print_Area" localSheetId="4">DTD_15!$A$1:$G$28</definedName>
    <definedName name="Print_Area" localSheetId="5">DTD_16!$A$1:$G$28</definedName>
    <definedName name="Print_Area" localSheetId="6">DTD_forskel!$A$1:$G$28</definedName>
    <definedName name="Print_Area" localSheetId="10">produktivitet!$A$1:$J$29</definedName>
    <definedName name="Print_Area" localSheetId="1">'Skema1-7_2015'!$A$1:$J$27</definedName>
    <definedName name="Print_Area" localSheetId="2">'Skema1-7_2016'!$A$1:$J$28</definedName>
    <definedName name="Print_Area" localSheetId="3">'Skema1-7_forskel'!$A$1:$J$28</definedName>
    <definedName name="SAM_06" localSheetId="7">DRG_15!#REF!</definedName>
    <definedName name="SAM_06" localSheetId="8">DRG_16!#REF!</definedName>
    <definedName name="SAM_06" localSheetId="9">DRG_forskel!#REF!</definedName>
    <definedName name="SAM_07" localSheetId="10">produktivitet!$A$5:$B$29</definedName>
  </definedNames>
  <calcPr calcId="152511"/>
</workbook>
</file>

<file path=xl/calcChain.xml><?xml version="1.0" encoding="utf-8"?>
<calcChain xmlns="http://schemas.openxmlformats.org/spreadsheetml/2006/main">
  <c r="F5" i="25" l="1"/>
  <c r="F11" i="5" l="1"/>
  <c r="F26" i="5" l="1"/>
  <c r="F25" i="5"/>
  <c r="F24" i="5"/>
  <c r="F23" i="5"/>
  <c r="F22" i="5"/>
  <c r="F19" i="5"/>
  <c r="F17" i="5"/>
  <c r="F15" i="5"/>
  <c r="F9" i="5"/>
  <c r="F8" i="5"/>
  <c r="F7" i="5"/>
  <c r="F6" i="5"/>
  <c r="F5" i="5"/>
  <c r="E22" i="55" l="1"/>
  <c r="E20" i="55"/>
  <c r="E12" i="55"/>
  <c r="E7" i="55"/>
  <c r="I69" i="55"/>
  <c r="I66" i="55"/>
  <c r="I65" i="55"/>
  <c r="E26" i="55"/>
  <c r="I64" i="55"/>
  <c r="I63" i="55"/>
  <c r="I62" i="55"/>
  <c r="I61" i="55"/>
  <c r="I60" i="55"/>
  <c r="E24" i="55"/>
  <c r="H60" i="55"/>
  <c r="I57" i="55"/>
  <c r="H57" i="55"/>
  <c r="I56" i="55"/>
  <c r="H56" i="55"/>
  <c r="I55" i="55"/>
  <c r="H55" i="55"/>
  <c r="I54" i="55"/>
  <c r="H54" i="55"/>
  <c r="I53" i="55"/>
  <c r="H53" i="55"/>
  <c r="I52" i="55"/>
  <c r="E17" i="55"/>
  <c r="H52" i="55"/>
  <c r="I51" i="55"/>
  <c r="H51" i="55"/>
  <c r="I50" i="55"/>
  <c r="H50" i="55"/>
  <c r="I49" i="55"/>
  <c r="H49" i="55"/>
  <c r="I48" i="55"/>
  <c r="H48" i="55"/>
  <c r="I47" i="55"/>
  <c r="E16" i="55"/>
  <c r="H47" i="55"/>
  <c r="I46" i="55"/>
  <c r="H46" i="55"/>
  <c r="I45" i="55"/>
  <c r="E18" i="55"/>
  <c r="H45" i="55"/>
  <c r="I44" i="55"/>
  <c r="H44" i="55"/>
  <c r="I41" i="55"/>
  <c r="I42" i="55"/>
  <c r="I38" i="55"/>
  <c r="E6" i="55"/>
  <c r="H38" i="55"/>
  <c r="I37" i="55"/>
  <c r="I36" i="55"/>
  <c r="E9" i="55"/>
  <c r="I35" i="55"/>
  <c r="H35" i="55"/>
  <c r="I34" i="55"/>
  <c r="E10" i="55"/>
  <c r="I33" i="55"/>
  <c r="I32" i="55"/>
  <c r="I39" i="55"/>
  <c r="E8" i="55"/>
  <c r="I58" i="55"/>
  <c r="I67" i="55"/>
  <c r="E29" i="55"/>
  <c r="B27" i="24"/>
  <c r="J6" i="23"/>
  <c r="J6" i="29" s="1"/>
  <c r="J7" i="23"/>
  <c r="J7" i="29" s="1"/>
  <c r="J8" i="23"/>
  <c r="J9" i="23"/>
  <c r="J5" i="23"/>
  <c r="J30" i="23" s="1"/>
  <c r="J35" i="23" s="1"/>
  <c r="C28" i="27"/>
  <c r="H28" i="32"/>
  <c r="C28" i="32"/>
  <c r="D28" i="32"/>
  <c r="E28" i="32"/>
  <c r="F28" i="32"/>
  <c r="G28" i="32"/>
  <c r="I28" i="32"/>
  <c r="J10" i="23"/>
  <c r="C5" i="24"/>
  <c r="D5" i="24"/>
  <c r="E5" i="24"/>
  <c r="F5" i="24"/>
  <c r="G5" i="24"/>
  <c r="H5" i="24"/>
  <c r="I5" i="24"/>
  <c r="C6" i="24"/>
  <c r="D6" i="24"/>
  <c r="E6" i="24"/>
  <c r="F6" i="24"/>
  <c r="G6" i="24"/>
  <c r="H6" i="24"/>
  <c r="I6" i="24"/>
  <c r="C7" i="24"/>
  <c r="D7" i="24"/>
  <c r="E7" i="24"/>
  <c r="F7" i="24"/>
  <c r="G7" i="24"/>
  <c r="H7" i="24"/>
  <c r="I7" i="24"/>
  <c r="C8" i="24"/>
  <c r="D8" i="24"/>
  <c r="E8" i="24"/>
  <c r="F8" i="24"/>
  <c r="G8" i="24"/>
  <c r="H8" i="24"/>
  <c r="I8" i="24"/>
  <c r="C9" i="24"/>
  <c r="D9" i="24"/>
  <c r="E9" i="24"/>
  <c r="F9" i="24"/>
  <c r="G9" i="24"/>
  <c r="H9" i="24"/>
  <c r="I9" i="24"/>
  <c r="C10" i="24"/>
  <c r="D10" i="24"/>
  <c r="E10" i="24"/>
  <c r="F10" i="24"/>
  <c r="G10" i="24"/>
  <c r="H10" i="24"/>
  <c r="I10" i="24"/>
  <c r="C11" i="24"/>
  <c r="D11" i="24"/>
  <c r="E11" i="24"/>
  <c r="F11" i="24"/>
  <c r="G11" i="24"/>
  <c r="H11" i="24"/>
  <c r="I11" i="24"/>
  <c r="C12" i="24"/>
  <c r="C12" i="29"/>
  <c r="D12" i="24"/>
  <c r="D12" i="29"/>
  <c r="E12" i="24"/>
  <c r="E12" i="29"/>
  <c r="F12" i="24"/>
  <c r="F12" i="29"/>
  <c r="G12" i="24"/>
  <c r="G12" i="29"/>
  <c r="H12" i="24"/>
  <c r="H12" i="29"/>
  <c r="I12" i="24"/>
  <c r="I12" i="29"/>
  <c r="C13" i="24"/>
  <c r="C13" i="29"/>
  <c r="D13" i="24"/>
  <c r="D13" i="29"/>
  <c r="E13" i="24"/>
  <c r="E13" i="29"/>
  <c r="F13" i="24"/>
  <c r="F13" i="29"/>
  <c r="G13" i="24"/>
  <c r="G13" i="29"/>
  <c r="H13" i="24"/>
  <c r="H13" i="29"/>
  <c r="I13" i="24"/>
  <c r="I13" i="29"/>
  <c r="C14" i="24"/>
  <c r="C14" i="29"/>
  <c r="D14" i="24"/>
  <c r="D14" i="29"/>
  <c r="E14" i="24"/>
  <c r="E14" i="29"/>
  <c r="F14" i="24"/>
  <c r="F14" i="29"/>
  <c r="G14" i="24"/>
  <c r="G14" i="29"/>
  <c r="H14" i="24"/>
  <c r="H14" i="29"/>
  <c r="I14" i="24"/>
  <c r="I14" i="29"/>
  <c r="C15" i="24"/>
  <c r="C15" i="29"/>
  <c r="D15" i="24"/>
  <c r="D15" i="29"/>
  <c r="E15" i="24"/>
  <c r="E15" i="29"/>
  <c r="F15" i="24"/>
  <c r="F15" i="29"/>
  <c r="G15" i="24"/>
  <c r="G15" i="29"/>
  <c r="H15" i="24"/>
  <c r="H15" i="29"/>
  <c r="I15" i="24"/>
  <c r="I15" i="29"/>
  <c r="C16" i="24"/>
  <c r="D16" i="24"/>
  <c r="E16" i="24"/>
  <c r="F16" i="24"/>
  <c r="G16" i="24"/>
  <c r="H16" i="24"/>
  <c r="I16" i="24"/>
  <c r="C17" i="24"/>
  <c r="D17" i="24"/>
  <c r="E17" i="24"/>
  <c r="F17" i="24"/>
  <c r="G17" i="24"/>
  <c r="H17" i="24"/>
  <c r="I17" i="24"/>
  <c r="C18" i="24"/>
  <c r="D18" i="24"/>
  <c r="E18" i="24"/>
  <c r="F18" i="24"/>
  <c r="G18" i="24"/>
  <c r="H18" i="24"/>
  <c r="I18" i="24"/>
  <c r="C19" i="24"/>
  <c r="D19" i="24"/>
  <c r="E19" i="24"/>
  <c r="F19" i="24"/>
  <c r="G19" i="24"/>
  <c r="H19" i="24"/>
  <c r="I19" i="24"/>
  <c r="C20" i="24"/>
  <c r="D20" i="24"/>
  <c r="E20" i="24"/>
  <c r="F20" i="24"/>
  <c r="G20" i="24"/>
  <c r="H20" i="24"/>
  <c r="I20" i="24"/>
  <c r="C21" i="24"/>
  <c r="D21" i="24"/>
  <c r="E21" i="24"/>
  <c r="F21" i="24"/>
  <c r="G21" i="24"/>
  <c r="H21" i="24"/>
  <c r="I21" i="24"/>
  <c r="C22" i="24"/>
  <c r="D22" i="24"/>
  <c r="E22" i="24"/>
  <c r="F22" i="24"/>
  <c r="G22" i="24"/>
  <c r="H22" i="24"/>
  <c r="I22" i="24"/>
  <c r="C23" i="24"/>
  <c r="D23" i="24"/>
  <c r="E23" i="24"/>
  <c r="F23" i="24"/>
  <c r="G23" i="24"/>
  <c r="H23" i="24"/>
  <c r="I23" i="24"/>
  <c r="C24" i="24"/>
  <c r="D24" i="24"/>
  <c r="E24" i="24"/>
  <c r="F24" i="24"/>
  <c r="G24" i="24"/>
  <c r="H24" i="24"/>
  <c r="I24" i="24"/>
  <c r="C25" i="24"/>
  <c r="D25" i="24"/>
  <c r="E25" i="24"/>
  <c r="F25" i="24"/>
  <c r="G25" i="24"/>
  <c r="H25" i="24"/>
  <c r="I25" i="24"/>
  <c r="C26" i="24"/>
  <c r="D26" i="24"/>
  <c r="E26" i="24"/>
  <c r="F26" i="24"/>
  <c r="G26" i="24"/>
  <c r="H26" i="24"/>
  <c r="I26" i="24"/>
  <c r="C27" i="24"/>
  <c r="D27" i="24"/>
  <c r="E27" i="24"/>
  <c r="F27" i="24"/>
  <c r="G27" i="24"/>
  <c r="H27" i="24"/>
  <c r="I27" i="24"/>
  <c r="J6" i="24"/>
  <c r="J7" i="24"/>
  <c r="J8" i="24"/>
  <c r="J8" i="29" s="1"/>
  <c r="J9" i="24"/>
  <c r="J5" i="24"/>
  <c r="J15" i="32"/>
  <c r="J14" i="32"/>
  <c r="J13" i="32"/>
  <c r="J12" i="32"/>
  <c r="D30" i="5"/>
  <c r="D35" i="5" s="1"/>
  <c r="F30" i="5"/>
  <c r="F35" i="5" s="1"/>
  <c r="D31" i="5"/>
  <c r="F31" i="5"/>
  <c r="D32" i="5"/>
  <c r="F32" i="5"/>
  <c r="F32" i="30" s="1"/>
  <c r="D33" i="5"/>
  <c r="F33" i="5"/>
  <c r="D34" i="5"/>
  <c r="F34" i="5"/>
  <c r="H34" i="26"/>
  <c r="H33" i="26"/>
  <c r="H32" i="26"/>
  <c r="H31" i="26"/>
  <c r="H30" i="26"/>
  <c r="G34" i="26"/>
  <c r="G33" i="26"/>
  <c r="G32" i="26"/>
  <c r="G32" i="31" s="1"/>
  <c r="G31" i="26"/>
  <c r="G30" i="26"/>
  <c r="F34" i="26"/>
  <c r="F33" i="26"/>
  <c r="F32" i="26"/>
  <c r="F31" i="26"/>
  <c r="F30" i="26"/>
  <c r="D34" i="26"/>
  <c r="D33" i="26"/>
  <c r="D32" i="26"/>
  <c r="D31" i="26"/>
  <c r="D30" i="26"/>
  <c r="C34" i="26"/>
  <c r="C33" i="26"/>
  <c r="C32" i="26"/>
  <c r="C31" i="26"/>
  <c r="C30" i="26"/>
  <c r="H34" i="27"/>
  <c r="H33" i="27"/>
  <c r="H32" i="27"/>
  <c r="H31" i="27"/>
  <c r="H30" i="27"/>
  <c r="G34" i="27"/>
  <c r="G34" i="31" s="1"/>
  <c r="G33" i="27"/>
  <c r="G33" i="31" s="1"/>
  <c r="G32" i="27"/>
  <c r="G31" i="27"/>
  <c r="G30" i="27"/>
  <c r="G30" i="31" s="1"/>
  <c r="F34" i="27"/>
  <c r="F33" i="27"/>
  <c r="F32" i="27"/>
  <c r="F31" i="27"/>
  <c r="F30" i="27"/>
  <c r="D34" i="27"/>
  <c r="D33" i="27"/>
  <c r="D32" i="27"/>
  <c r="D31" i="27"/>
  <c r="D30" i="27"/>
  <c r="C34" i="27"/>
  <c r="C33" i="27"/>
  <c r="C32" i="27"/>
  <c r="C31" i="27"/>
  <c r="C30" i="27"/>
  <c r="F34" i="25"/>
  <c r="F33" i="25"/>
  <c r="F35" i="25" s="1"/>
  <c r="F32" i="25"/>
  <c r="F31" i="25"/>
  <c r="F30" i="25"/>
  <c r="D34" i="25"/>
  <c r="D33" i="25"/>
  <c r="D32" i="25"/>
  <c r="D35" i="25" s="1"/>
  <c r="D31" i="25"/>
  <c r="D30" i="25"/>
  <c r="I34" i="23"/>
  <c r="H34" i="23"/>
  <c r="G34" i="23"/>
  <c r="F34" i="23"/>
  <c r="E34" i="23"/>
  <c r="D34" i="23"/>
  <c r="C34" i="23"/>
  <c r="I33" i="23"/>
  <c r="H33" i="23"/>
  <c r="G33" i="23"/>
  <c r="F33" i="23"/>
  <c r="E33" i="23"/>
  <c r="D33" i="23"/>
  <c r="C33" i="23"/>
  <c r="I32" i="23"/>
  <c r="H32" i="23"/>
  <c r="G32" i="23"/>
  <c r="F32" i="23"/>
  <c r="E32" i="23"/>
  <c r="D32" i="23"/>
  <c r="C32" i="23"/>
  <c r="I31" i="23"/>
  <c r="H31" i="23"/>
  <c r="G31" i="23"/>
  <c r="F31" i="23"/>
  <c r="E31" i="23"/>
  <c r="D31" i="23"/>
  <c r="C31" i="23"/>
  <c r="I30" i="23"/>
  <c r="H30" i="23"/>
  <c r="G30" i="23"/>
  <c r="F30" i="23"/>
  <c r="E30" i="23"/>
  <c r="D30" i="23"/>
  <c r="C30" i="23"/>
  <c r="I34" i="24"/>
  <c r="H34" i="24"/>
  <c r="G34" i="24"/>
  <c r="F34" i="24"/>
  <c r="E34" i="24"/>
  <c r="D34" i="24"/>
  <c r="C34" i="24"/>
  <c r="I33" i="24"/>
  <c r="H33" i="24"/>
  <c r="G33" i="24"/>
  <c r="F33" i="24"/>
  <c r="E33" i="24"/>
  <c r="D33" i="24"/>
  <c r="I32" i="24"/>
  <c r="H32" i="24"/>
  <c r="G32" i="24"/>
  <c r="F32" i="24"/>
  <c r="E32" i="24"/>
  <c r="D32" i="24"/>
  <c r="C32" i="24"/>
  <c r="I31" i="24"/>
  <c r="H31" i="24"/>
  <c r="G31" i="24"/>
  <c r="F31" i="24"/>
  <c r="E31" i="24"/>
  <c r="D31" i="24"/>
  <c r="C31" i="24"/>
  <c r="I30" i="24"/>
  <c r="H30" i="24"/>
  <c r="G30" i="24"/>
  <c r="F30" i="24"/>
  <c r="E30" i="24"/>
  <c r="D30" i="24"/>
  <c r="C30" i="24"/>
  <c r="I34" i="32"/>
  <c r="H34" i="32"/>
  <c r="G34" i="32"/>
  <c r="F34" i="32"/>
  <c r="E34" i="32"/>
  <c r="D34" i="32"/>
  <c r="I33" i="32"/>
  <c r="H33" i="32"/>
  <c r="G33" i="32"/>
  <c r="F33" i="32"/>
  <c r="E33" i="32"/>
  <c r="D33" i="32"/>
  <c r="I32" i="32"/>
  <c r="H32" i="32"/>
  <c r="G32" i="32"/>
  <c r="F32" i="32"/>
  <c r="E32" i="32"/>
  <c r="D32" i="32"/>
  <c r="I31" i="32"/>
  <c r="H31" i="32"/>
  <c r="G31" i="32"/>
  <c r="F31" i="32"/>
  <c r="E31" i="32"/>
  <c r="D31" i="32"/>
  <c r="I30" i="32"/>
  <c r="H30" i="32"/>
  <c r="G30" i="32"/>
  <c r="F30" i="32"/>
  <c r="E30" i="32"/>
  <c r="D30" i="32"/>
  <c r="C33" i="32"/>
  <c r="C34" i="32"/>
  <c r="C30" i="32"/>
  <c r="C32" i="32"/>
  <c r="C31" i="32"/>
  <c r="A1" i="7"/>
  <c r="J12" i="24"/>
  <c r="J15" i="24"/>
  <c r="J14" i="24"/>
  <c r="J13" i="24"/>
  <c r="A1" i="32"/>
  <c r="C12" i="25"/>
  <c r="E5" i="26"/>
  <c r="I5" i="26"/>
  <c r="D6" i="7" s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6" i="7"/>
  <c r="C30" i="31"/>
  <c r="A1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D28" i="5"/>
  <c r="D28" i="30" s="1"/>
  <c r="F28" i="5"/>
  <c r="D31" i="29"/>
  <c r="E31" i="29"/>
  <c r="F31" i="29"/>
  <c r="G31" i="29"/>
  <c r="H31" i="29"/>
  <c r="I31" i="29"/>
  <c r="H35" i="27"/>
  <c r="C31" i="29"/>
  <c r="I27" i="29"/>
  <c r="H27" i="29"/>
  <c r="G27" i="29"/>
  <c r="F27" i="29"/>
  <c r="E27" i="29"/>
  <c r="D27" i="29"/>
  <c r="C27" i="29"/>
  <c r="I26" i="29"/>
  <c r="H26" i="29"/>
  <c r="G26" i="29"/>
  <c r="F26" i="29"/>
  <c r="E26" i="29"/>
  <c r="D26" i="29"/>
  <c r="I25" i="29"/>
  <c r="H25" i="29"/>
  <c r="G25" i="29"/>
  <c r="F25" i="29"/>
  <c r="E25" i="29"/>
  <c r="D25" i="29"/>
  <c r="C25" i="29"/>
  <c r="I24" i="29"/>
  <c r="H24" i="29"/>
  <c r="G24" i="29"/>
  <c r="F24" i="29"/>
  <c r="E24" i="29"/>
  <c r="D24" i="29"/>
  <c r="C24" i="29"/>
  <c r="I23" i="29"/>
  <c r="H23" i="29"/>
  <c r="G23" i="29"/>
  <c r="F23" i="29"/>
  <c r="E23" i="29"/>
  <c r="D23" i="29"/>
  <c r="C23" i="29"/>
  <c r="I22" i="29"/>
  <c r="H22" i="29"/>
  <c r="G22" i="29"/>
  <c r="F22" i="29"/>
  <c r="E22" i="29"/>
  <c r="D22" i="29"/>
  <c r="I21" i="29"/>
  <c r="H21" i="29"/>
  <c r="G21" i="29"/>
  <c r="F21" i="29"/>
  <c r="E21" i="29"/>
  <c r="D21" i="29"/>
  <c r="I20" i="29"/>
  <c r="H20" i="29"/>
  <c r="G20" i="29"/>
  <c r="F20" i="29"/>
  <c r="E20" i="29"/>
  <c r="D20" i="29"/>
  <c r="C20" i="29"/>
  <c r="I19" i="29"/>
  <c r="H19" i="29"/>
  <c r="G19" i="29"/>
  <c r="F19" i="29"/>
  <c r="E19" i="29"/>
  <c r="D19" i="29"/>
  <c r="C19" i="29"/>
  <c r="I18" i="29"/>
  <c r="H18" i="29"/>
  <c r="G18" i="29"/>
  <c r="F18" i="29"/>
  <c r="E18" i="29"/>
  <c r="D18" i="29"/>
  <c r="C18" i="29"/>
  <c r="I17" i="29"/>
  <c r="H17" i="29"/>
  <c r="G17" i="29"/>
  <c r="F17" i="29"/>
  <c r="E17" i="29"/>
  <c r="D17" i="29"/>
  <c r="C17" i="29"/>
  <c r="I16" i="29"/>
  <c r="H16" i="29"/>
  <c r="G16" i="29"/>
  <c r="F16" i="29"/>
  <c r="E16" i="29"/>
  <c r="D16" i="29"/>
  <c r="I11" i="29"/>
  <c r="H11" i="29"/>
  <c r="G11" i="29"/>
  <c r="F11" i="29"/>
  <c r="E11" i="29"/>
  <c r="D11" i="29"/>
  <c r="C11" i="29"/>
  <c r="I10" i="29"/>
  <c r="H10" i="29"/>
  <c r="G10" i="29"/>
  <c r="F10" i="29"/>
  <c r="E10" i="29"/>
  <c r="D10" i="29"/>
  <c r="C10" i="29"/>
  <c r="I9" i="29"/>
  <c r="H9" i="29"/>
  <c r="G9" i="29"/>
  <c r="F9" i="29"/>
  <c r="E9" i="29"/>
  <c r="D9" i="29"/>
  <c r="C9" i="29"/>
  <c r="I8" i="29"/>
  <c r="H8" i="29"/>
  <c r="G8" i="29"/>
  <c r="F8" i="29"/>
  <c r="E8" i="29"/>
  <c r="D8" i="29"/>
  <c r="C8" i="29"/>
  <c r="I7" i="29"/>
  <c r="H7" i="29"/>
  <c r="G7" i="29"/>
  <c r="F7" i="29"/>
  <c r="E7" i="29"/>
  <c r="D7" i="29"/>
  <c r="C7" i="29"/>
  <c r="I6" i="29"/>
  <c r="H6" i="29"/>
  <c r="G6" i="29"/>
  <c r="F6" i="29"/>
  <c r="E6" i="29"/>
  <c r="D6" i="29"/>
  <c r="C6" i="29"/>
  <c r="I5" i="29"/>
  <c r="H5" i="29"/>
  <c r="G5" i="29"/>
  <c r="F5" i="29"/>
  <c r="E5" i="29"/>
  <c r="D5" i="29"/>
  <c r="C21" i="29"/>
  <c r="C33" i="24"/>
  <c r="C33" i="29"/>
  <c r="C5" i="29"/>
  <c r="C30" i="29"/>
  <c r="C26" i="29"/>
  <c r="C34" i="29"/>
  <c r="C16" i="29"/>
  <c r="C32" i="29"/>
  <c r="C22" i="29"/>
  <c r="C28" i="24"/>
  <c r="G28" i="26"/>
  <c r="D28" i="26"/>
  <c r="G28" i="27"/>
  <c r="F28" i="27"/>
  <c r="G27" i="31"/>
  <c r="F27" i="31"/>
  <c r="D27" i="31"/>
  <c r="C27" i="31"/>
  <c r="B27" i="31"/>
  <c r="A27" i="31"/>
  <c r="G26" i="31"/>
  <c r="F26" i="31"/>
  <c r="D26" i="31"/>
  <c r="C26" i="31"/>
  <c r="B26" i="31"/>
  <c r="A26" i="31"/>
  <c r="G25" i="31"/>
  <c r="F25" i="31"/>
  <c r="D25" i="31"/>
  <c r="C25" i="31"/>
  <c r="B25" i="31"/>
  <c r="A25" i="31"/>
  <c r="G24" i="31"/>
  <c r="F24" i="31"/>
  <c r="D24" i="31"/>
  <c r="C24" i="31"/>
  <c r="B24" i="31"/>
  <c r="A24" i="31"/>
  <c r="G23" i="31"/>
  <c r="F23" i="31"/>
  <c r="D23" i="31"/>
  <c r="C23" i="31"/>
  <c r="B23" i="31"/>
  <c r="A23" i="31"/>
  <c r="G22" i="31"/>
  <c r="F22" i="31"/>
  <c r="D22" i="31"/>
  <c r="C22" i="31"/>
  <c r="B22" i="31"/>
  <c r="A22" i="31"/>
  <c r="G21" i="31"/>
  <c r="F21" i="31"/>
  <c r="D21" i="31"/>
  <c r="C21" i="31"/>
  <c r="B21" i="31"/>
  <c r="A21" i="31"/>
  <c r="G20" i="31"/>
  <c r="F20" i="31"/>
  <c r="D20" i="31"/>
  <c r="C20" i="31"/>
  <c r="B20" i="31"/>
  <c r="A20" i="31"/>
  <c r="G19" i="31"/>
  <c r="F19" i="31"/>
  <c r="D19" i="31"/>
  <c r="C19" i="31"/>
  <c r="B19" i="31"/>
  <c r="A19" i="31"/>
  <c r="G18" i="31"/>
  <c r="F18" i="31"/>
  <c r="D18" i="31"/>
  <c r="C18" i="31"/>
  <c r="B18" i="31"/>
  <c r="A18" i="31"/>
  <c r="G17" i="31"/>
  <c r="F17" i="31"/>
  <c r="D17" i="31"/>
  <c r="C17" i="31"/>
  <c r="B17" i="31"/>
  <c r="A17" i="31"/>
  <c r="G16" i="31"/>
  <c r="F16" i="31"/>
  <c r="D16" i="31"/>
  <c r="C16" i="31"/>
  <c r="B16" i="31"/>
  <c r="A16" i="31"/>
  <c r="G15" i="31"/>
  <c r="F15" i="31"/>
  <c r="D15" i="31"/>
  <c r="C15" i="31"/>
  <c r="B15" i="31"/>
  <c r="A15" i="31"/>
  <c r="G14" i="31"/>
  <c r="F14" i="31"/>
  <c r="D14" i="31"/>
  <c r="C14" i="31"/>
  <c r="B14" i="31"/>
  <c r="A14" i="31"/>
  <c r="G13" i="31"/>
  <c r="F13" i="31"/>
  <c r="D13" i="31"/>
  <c r="C13" i="31"/>
  <c r="B13" i="31"/>
  <c r="A13" i="31"/>
  <c r="G12" i="31"/>
  <c r="F12" i="31"/>
  <c r="D12" i="31"/>
  <c r="C12" i="31"/>
  <c r="B12" i="31"/>
  <c r="A12" i="31"/>
  <c r="G11" i="31"/>
  <c r="F11" i="31"/>
  <c r="D11" i="31"/>
  <c r="C11" i="31"/>
  <c r="B11" i="31"/>
  <c r="A11" i="31"/>
  <c r="G10" i="31"/>
  <c r="F10" i="31"/>
  <c r="D10" i="31"/>
  <c r="C10" i="31"/>
  <c r="B10" i="31"/>
  <c r="A10" i="31"/>
  <c r="G9" i="31"/>
  <c r="F9" i="31"/>
  <c r="D9" i="31"/>
  <c r="C9" i="31"/>
  <c r="B9" i="31"/>
  <c r="A9" i="31"/>
  <c r="G8" i="31"/>
  <c r="F8" i="31"/>
  <c r="D8" i="31"/>
  <c r="C8" i="31"/>
  <c r="B8" i="31"/>
  <c r="A8" i="31"/>
  <c r="G7" i="31"/>
  <c r="F7" i="31"/>
  <c r="D7" i="31"/>
  <c r="C7" i="31"/>
  <c r="B7" i="31"/>
  <c r="A7" i="31"/>
  <c r="G6" i="31"/>
  <c r="F6" i="31"/>
  <c r="D6" i="31"/>
  <c r="C6" i="31"/>
  <c r="B6" i="31"/>
  <c r="A6" i="31"/>
  <c r="E27" i="26"/>
  <c r="I27" i="26"/>
  <c r="D28" i="7"/>
  <c r="B27" i="26"/>
  <c r="A27" i="26"/>
  <c r="E26" i="26"/>
  <c r="B26" i="26"/>
  <c r="A26" i="26"/>
  <c r="E25" i="26"/>
  <c r="I25" i="26"/>
  <c r="D26" i="7"/>
  <c r="B25" i="26"/>
  <c r="A25" i="26"/>
  <c r="E24" i="26"/>
  <c r="I24" i="26"/>
  <c r="D25" i="7" s="1"/>
  <c r="B24" i="26"/>
  <c r="A24" i="26"/>
  <c r="E23" i="26"/>
  <c r="I23" i="26"/>
  <c r="H23" i="31" s="1"/>
  <c r="B23" i="26"/>
  <c r="A23" i="26"/>
  <c r="E22" i="26"/>
  <c r="B22" i="26"/>
  <c r="A22" i="26"/>
  <c r="E21" i="26"/>
  <c r="B21" i="26"/>
  <c r="A21" i="26"/>
  <c r="E20" i="26"/>
  <c r="I20" i="26"/>
  <c r="D21" i="7" s="1"/>
  <c r="B20" i="26"/>
  <c r="A20" i="26"/>
  <c r="E19" i="26"/>
  <c r="I19" i="26"/>
  <c r="D20" i="7" s="1"/>
  <c r="B19" i="26"/>
  <c r="A19" i="26"/>
  <c r="E18" i="26"/>
  <c r="I18" i="26"/>
  <c r="D19" i="7" s="1"/>
  <c r="B18" i="26"/>
  <c r="A18" i="26"/>
  <c r="E17" i="26"/>
  <c r="I17" i="26"/>
  <c r="B17" i="26"/>
  <c r="A17" i="26"/>
  <c r="E16" i="26"/>
  <c r="B16" i="26"/>
  <c r="A16" i="26"/>
  <c r="E15" i="26"/>
  <c r="B15" i="26"/>
  <c r="A15" i="26"/>
  <c r="E14" i="26"/>
  <c r="I14" i="26"/>
  <c r="D15" i="7" s="1"/>
  <c r="B14" i="26"/>
  <c r="A14" i="26"/>
  <c r="E13" i="26"/>
  <c r="I13" i="26"/>
  <c r="D14" i="7" s="1"/>
  <c r="B13" i="26"/>
  <c r="A13" i="26"/>
  <c r="E12" i="26"/>
  <c r="B12" i="26"/>
  <c r="A12" i="26"/>
  <c r="E11" i="26"/>
  <c r="B11" i="26"/>
  <c r="A11" i="26"/>
  <c r="E10" i="26"/>
  <c r="I10" i="26"/>
  <c r="D11" i="7" s="1"/>
  <c r="B10" i="26"/>
  <c r="A10" i="26"/>
  <c r="E9" i="26"/>
  <c r="I9" i="26"/>
  <c r="B9" i="26"/>
  <c r="A9" i="26"/>
  <c r="E8" i="26"/>
  <c r="I8" i="26"/>
  <c r="D9" i="7" s="1"/>
  <c r="B8" i="26"/>
  <c r="A8" i="26"/>
  <c r="E7" i="26"/>
  <c r="I7" i="26"/>
  <c r="D8" i="7" s="1"/>
  <c r="B7" i="26"/>
  <c r="A7" i="26"/>
  <c r="E6" i="26"/>
  <c r="I6" i="26"/>
  <c r="I30" i="26" s="1"/>
  <c r="B6" i="26"/>
  <c r="A6" i="26"/>
  <c r="E27" i="27"/>
  <c r="I27" i="27"/>
  <c r="C28" i="7" s="1"/>
  <c r="B27" i="27"/>
  <c r="A27" i="27"/>
  <c r="E26" i="27"/>
  <c r="B26" i="27"/>
  <c r="A26" i="27"/>
  <c r="E25" i="27"/>
  <c r="I25" i="27"/>
  <c r="C26" i="7" s="1"/>
  <c r="B25" i="27"/>
  <c r="A25" i="27"/>
  <c r="E24" i="27"/>
  <c r="I24" i="27"/>
  <c r="C25" i="7" s="1"/>
  <c r="B24" i="27"/>
  <c r="A24" i="27"/>
  <c r="E23" i="27"/>
  <c r="I23" i="27"/>
  <c r="C24" i="7" s="1"/>
  <c r="B23" i="27"/>
  <c r="A23" i="27"/>
  <c r="E22" i="27"/>
  <c r="B22" i="27"/>
  <c r="A22" i="27"/>
  <c r="E21" i="27"/>
  <c r="B21" i="27"/>
  <c r="A21" i="27"/>
  <c r="E20" i="27"/>
  <c r="I20" i="27"/>
  <c r="C21" i="7" s="1"/>
  <c r="B20" i="27"/>
  <c r="A20" i="27"/>
  <c r="E19" i="27"/>
  <c r="I19" i="27"/>
  <c r="C20" i="7" s="1"/>
  <c r="B19" i="27"/>
  <c r="A19" i="27"/>
  <c r="E18" i="27"/>
  <c r="I18" i="27"/>
  <c r="C19" i="7" s="1"/>
  <c r="B18" i="27"/>
  <c r="A18" i="27"/>
  <c r="E17" i="27"/>
  <c r="I17" i="27"/>
  <c r="C18" i="7" s="1"/>
  <c r="B17" i="27"/>
  <c r="A17" i="27"/>
  <c r="E16" i="27"/>
  <c r="B16" i="27"/>
  <c r="A16" i="27"/>
  <c r="E15" i="27"/>
  <c r="B15" i="27"/>
  <c r="A15" i="27"/>
  <c r="E14" i="27"/>
  <c r="I14" i="27"/>
  <c r="C15" i="7" s="1"/>
  <c r="B14" i="27"/>
  <c r="A14" i="27"/>
  <c r="E13" i="27"/>
  <c r="I13" i="27"/>
  <c r="C14" i="7" s="1"/>
  <c r="B13" i="27"/>
  <c r="A13" i="27"/>
  <c r="E12" i="27"/>
  <c r="B12" i="27"/>
  <c r="A12" i="27"/>
  <c r="E11" i="27"/>
  <c r="B11" i="27"/>
  <c r="A11" i="27"/>
  <c r="E10" i="27"/>
  <c r="B10" i="27"/>
  <c r="A10" i="27"/>
  <c r="E9" i="27"/>
  <c r="B9" i="27"/>
  <c r="A9" i="27"/>
  <c r="E8" i="27"/>
  <c r="B8" i="27"/>
  <c r="A8" i="27"/>
  <c r="E7" i="27"/>
  <c r="B7" i="27"/>
  <c r="A7" i="27"/>
  <c r="E6" i="27"/>
  <c r="B6" i="27"/>
  <c r="A6" i="27"/>
  <c r="F27" i="30"/>
  <c r="D27" i="30"/>
  <c r="B27" i="30"/>
  <c r="A27" i="30"/>
  <c r="F26" i="30"/>
  <c r="D26" i="30"/>
  <c r="B26" i="30"/>
  <c r="A26" i="30"/>
  <c r="F25" i="30"/>
  <c r="D25" i="30"/>
  <c r="B25" i="30"/>
  <c r="A25" i="30"/>
  <c r="F24" i="30"/>
  <c r="D24" i="30"/>
  <c r="B24" i="30"/>
  <c r="A24" i="30"/>
  <c r="F23" i="30"/>
  <c r="D23" i="30"/>
  <c r="B23" i="30"/>
  <c r="A23" i="30"/>
  <c r="F22" i="30"/>
  <c r="D22" i="30"/>
  <c r="B22" i="30"/>
  <c r="A22" i="30"/>
  <c r="F21" i="30"/>
  <c r="D21" i="30"/>
  <c r="B21" i="30"/>
  <c r="A21" i="30"/>
  <c r="F20" i="30"/>
  <c r="D20" i="30"/>
  <c r="B20" i="30"/>
  <c r="A20" i="30"/>
  <c r="F19" i="30"/>
  <c r="D19" i="30"/>
  <c r="B19" i="30"/>
  <c r="A19" i="30"/>
  <c r="F18" i="30"/>
  <c r="D18" i="30"/>
  <c r="B18" i="30"/>
  <c r="A18" i="30"/>
  <c r="F17" i="30"/>
  <c r="D17" i="30"/>
  <c r="B17" i="30"/>
  <c r="A17" i="30"/>
  <c r="F16" i="30"/>
  <c r="D16" i="30"/>
  <c r="B16" i="30"/>
  <c r="A16" i="30"/>
  <c r="F15" i="30"/>
  <c r="D15" i="30"/>
  <c r="B15" i="30"/>
  <c r="A15" i="30"/>
  <c r="F14" i="30"/>
  <c r="D14" i="30"/>
  <c r="B14" i="30"/>
  <c r="A14" i="30"/>
  <c r="F13" i="30"/>
  <c r="D13" i="30"/>
  <c r="B13" i="30"/>
  <c r="A13" i="30"/>
  <c r="F12" i="30"/>
  <c r="D12" i="30"/>
  <c r="B12" i="30"/>
  <c r="A12" i="30"/>
  <c r="F11" i="30"/>
  <c r="D11" i="30"/>
  <c r="B11" i="30"/>
  <c r="A11" i="30"/>
  <c r="F10" i="30"/>
  <c r="D10" i="30"/>
  <c r="B10" i="30"/>
  <c r="A10" i="30"/>
  <c r="F9" i="30"/>
  <c r="D9" i="30"/>
  <c r="B9" i="30"/>
  <c r="A9" i="30"/>
  <c r="F8" i="30"/>
  <c r="D8" i="30"/>
  <c r="B8" i="30"/>
  <c r="A8" i="30"/>
  <c r="F7" i="30"/>
  <c r="D7" i="30"/>
  <c r="B7" i="30"/>
  <c r="A7" i="30"/>
  <c r="F6" i="30"/>
  <c r="D6" i="30"/>
  <c r="B6" i="30"/>
  <c r="A6" i="30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B13" i="25"/>
  <c r="A13" i="25"/>
  <c r="B12" i="25"/>
  <c r="A12" i="25"/>
  <c r="B11" i="25"/>
  <c r="A11" i="25"/>
  <c r="B10" i="25"/>
  <c r="A10" i="25"/>
  <c r="B9" i="25"/>
  <c r="A9" i="25"/>
  <c r="B8" i="25"/>
  <c r="A8" i="25"/>
  <c r="B7" i="25"/>
  <c r="A7" i="25"/>
  <c r="B6" i="25"/>
  <c r="A6" i="25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9" i="29"/>
  <c r="A9" i="29"/>
  <c r="B8" i="29"/>
  <c r="A8" i="29"/>
  <c r="B7" i="29"/>
  <c r="A7" i="29"/>
  <c r="B6" i="29"/>
  <c r="A6" i="29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B12" i="23"/>
  <c r="A12" i="23"/>
  <c r="B11" i="23"/>
  <c r="A11" i="23"/>
  <c r="B10" i="23"/>
  <c r="A10" i="23"/>
  <c r="B9" i="23"/>
  <c r="A9" i="23"/>
  <c r="B8" i="23"/>
  <c r="A8" i="23"/>
  <c r="B7" i="23"/>
  <c r="A7" i="23"/>
  <c r="B6" i="23"/>
  <c r="A6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27" i="24"/>
  <c r="J26" i="24"/>
  <c r="J25" i="24"/>
  <c r="J24" i="24"/>
  <c r="J23" i="24"/>
  <c r="J22" i="24"/>
  <c r="J21" i="24"/>
  <c r="J20" i="24"/>
  <c r="J19" i="24"/>
  <c r="J18" i="24"/>
  <c r="J17" i="24"/>
  <c r="J11" i="24"/>
  <c r="J31" i="24"/>
  <c r="J10" i="24"/>
  <c r="J16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9" i="24"/>
  <c r="A9" i="24"/>
  <c r="B8" i="24"/>
  <c r="A8" i="24"/>
  <c r="B7" i="24"/>
  <c r="A7" i="24"/>
  <c r="B6" i="24"/>
  <c r="A6" i="24"/>
  <c r="A5" i="23"/>
  <c r="B5" i="23"/>
  <c r="B5" i="24"/>
  <c r="J27" i="32"/>
  <c r="J26" i="32"/>
  <c r="J25" i="32"/>
  <c r="J24" i="32"/>
  <c r="J23" i="32"/>
  <c r="J22" i="32"/>
  <c r="J21" i="32"/>
  <c r="J20" i="32"/>
  <c r="J19" i="32"/>
  <c r="J18" i="32"/>
  <c r="J17" i="32"/>
  <c r="J16" i="32"/>
  <c r="J11" i="32"/>
  <c r="J10" i="32"/>
  <c r="J9" i="32"/>
  <c r="J8" i="32"/>
  <c r="J7" i="32"/>
  <c r="J6" i="32"/>
  <c r="J5" i="32"/>
  <c r="I8" i="27"/>
  <c r="C9" i="7" s="1"/>
  <c r="I7" i="27"/>
  <c r="C8" i="7" s="1"/>
  <c r="I6" i="27"/>
  <c r="C7" i="7" s="1"/>
  <c r="I10" i="27"/>
  <c r="H10" i="31" s="1"/>
  <c r="I9" i="27"/>
  <c r="C10" i="7" s="1"/>
  <c r="C19" i="5"/>
  <c r="E19" i="5"/>
  <c r="G19" i="5"/>
  <c r="F20" i="7"/>
  <c r="C23" i="5"/>
  <c r="E23" i="5"/>
  <c r="G23" i="5"/>
  <c r="F24" i="7"/>
  <c r="C12" i="5"/>
  <c r="E12" i="5"/>
  <c r="C20" i="5"/>
  <c r="E20" i="5"/>
  <c r="G20" i="5"/>
  <c r="F21" i="7"/>
  <c r="C24" i="5"/>
  <c r="E24" i="5"/>
  <c r="G24" i="5"/>
  <c r="F25" i="7"/>
  <c r="C9" i="5"/>
  <c r="E9" i="5"/>
  <c r="G9" i="5" s="1"/>
  <c r="C13" i="5"/>
  <c r="E13" i="5"/>
  <c r="G13" i="5"/>
  <c r="F14" i="7"/>
  <c r="C17" i="5"/>
  <c r="E17" i="5"/>
  <c r="G17" i="5"/>
  <c r="F18" i="7"/>
  <c r="C25" i="5"/>
  <c r="E25" i="5"/>
  <c r="G25" i="5"/>
  <c r="F26" i="7"/>
  <c r="C8" i="5"/>
  <c r="E8" i="5"/>
  <c r="G8" i="5" s="1"/>
  <c r="F9" i="7" s="1"/>
  <c r="C16" i="5"/>
  <c r="E16" i="5"/>
  <c r="C27" i="5"/>
  <c r="E27" i="5"/>
  <c r="G27" i="5"/>
  <c r="F28" i="7"/>
  <c r="C10" i="5"/>
  <c r="E10" i="5"/>
  <c r="G10" i="5"/>
  <c r="F11" i="7"/>
  <c r="C14" i="5"/>
  <c r="E14" i="5"/>
  <c r="G14" i="5"/>
  <c r="F15" i="7"/>
  <c r="C18" i="5"/>
  <c r="E18" i="5"/>
  <c r="G18" i="5"/>
  <c r="F19" i="7"/>
  <c r="J34" i="32"/>
  <c r="J31" i="32"/>
  <c r="I21" i="26"/>
  <c r="E33" i="26"/>
  <c r="E30" i="26"/>
  <c r="I11" i="26"/>
  <c r="D12" i="7" s="1"/>
  <c r="E31" i="26"/>
  <c r="I15" i="26"/>
  <c r="E32" i="26"/>
  <c r="E34" i="26"/>
  <c r="E34" i="27"/>
  <c r="I21" i="27"/>
  <c r="C22" i="7" s="1"/>
  <c r="E33" i="27"/>
  <c r="I11" i="27"/>
  <c r="C12" i="7" s="1"/>
  <c r="E31" i="27"/>
  <c r="I15" i="27"/>
  <c r="C16" i="7" s="1"/>
  <c r="E32" i="27"/>
  <c r="J32" i="24"/>
  <c r="C21" i="5"/>
  <c r="J33" i="23"/>
  <c r="C11" i="5"/>
  <c r="J31" i="23"/>
  <c r="C15" i="5"/>
  <c r="J32" i="23"/>
  <c r="J34" i="23"/>
  <c r="J30" i="32"/>
  <c r="J32" i="32"/>
  <c r="J33" i="32"/>
  <c r="J34" i="24"/>
  <c r="J33" i="24"/>
  <c r="E35" i="32"/>
  <c r="I35" i="32"/>
  <c r="J28" i="32"/>
  <c r="C22" i="5"/>
  <c r="I26" i="27"/>
  <c r="I12" i="26"/>
  <c r="H12" i="31" s="1"/>
  <c r="I16" i="26"/>
  <c r="D17" i="7" s="1"/>
  <c r="G35" i="32"/>
  <c r="C26" i="5"/>
  <c r="I22" i="27"/>
  <c r="C23" i="7" s="1"/>
  <c r="I26" i="26"/>
  <c r="D27" i="7" s="1"/>
  <c r="D37" i="7" s="1"/>
  <c r="I22" i="26"/>
  <c r="I12" i="27"/>
  <c r="I16" i="27"/>
  <c r="C6" i="25"/>
  <c r="E6" i="25" s="1"/>
  <c r="C10" i="25"/>
  <c r="E10" i="25"/>
  <c r="G10" i="25"/>
  <c r="E11" i="7"/>
  <c r="J10" i="29"/>
  <c r="C19" i="25"/>
  <c r="E19" i="25"/>
  <c r="E32" i="25" s="1"/>
  <c r="J19" i="29"/>
  <c r="C21" i="25"/>
  <c r="J21" i="29"/>
  <c r="C25" i="25"/>
  <c r="E25" i="25"/>
  <c r="G25" i="25"/>
  <c r="E26" i="7" s="1"/>
  <c r="H26" i="7" s="1"/>
  <c r="J25" i="29"/>
  <c r="C16" i="25"/>
  <c r="J16" i="29"/>
  <c r="C7" i="25"/>
  <c r="E7" i="25" s="1"/>
  <c r="C9" i="25"/>
  <c r="E9" i="25" s="1"/>
  <c r="J9" i="29"/>
  <c r="C11" i="25"/>
  <c r="J11" i="29"/>
  <c r="C18" i="25"/>
  <c r="E18" i="25"/>
  <c r="G18" i="25"/>
  <c r="G18" i="30" s="1"/>
  <c r="E19" i="7"/>
  <c r="H19" i="7" s="1"/>
  <c r="J18" i="29"/>
  <c r="C20" i="25"/>
  <c r="E20" i="25"/>
  <c r="G20" i="25"/>
  <c r="E21" i="7"/>
  <c r="J20" i="29"/>
  <c r="C22" i="25"/>
  <c r="E22" i="25"/>
  <c r="G22" i="25"/>
  <c r="E23" i="7"/>
  <c r="J22" i="29"/>
  <c r="C24" i="25"/>
  <c r="E24" i="25"/>
  <c r="G24" i="25"/>
  <c r="E25" i="7" s="1"/>
  <c r="H25" i="7" s="1"/>
  <c r="J24" i="29"/>
  <c r="C27" i="25"/>
  <c r="E27" i="25"/>
  <c r="G27" i="25"/>
  <c r="E28" i="7"/>
  <c r="J27" i="29"/>
  <c r="C17" i="25"/>
  <c r="E17" i="25"/>
  <c r="G17" i="25"/>
  <c r="E18" i="7"/>
  <c r="H18" i="7" s="1"/>
  <c r="J17" i="29"/>
  <c r="C23" i="25"/>
  <c r="E23" i="25"/>
  <c r="G23" i="25"/>
  <c r="G23" i="30" s="1"/>
  <c r="J23" i="29"/>
  <c r="C26" i="25"/>
  <c r="E26" i="25"/>
  <c r="G26" i="25"/>
  <c r="E27" i="7" s="1"/>
  <c r="J26" i="29"/>
  <c r="E7" i="31"/>
  <c r="E6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H19" i="31"/>
  <c r="H25" i="31"/>
  <c r="D35" i="32"/>
  <c r="F35" i="32"/>
  <c r="H35" i="32"/>
  <c r="D30" i="29"/>
  <c r="E30" i="29"/>
  <c r="F30" i="29"/>
  <c r="G30" i="29"/>
  <c r="H30" i="29"/>
  <c r="I30" i="29"/>
  <c r="D32" i="29"/>
  <c r="E32" i="29"/>
  <c r="F32" i="29"/>
  <c r="G32" i="29"/>
  <c r="H32" i="29"/>
  <c r="I32" i="29"/>
  <c r="D33" i="29"/>
  <c r="E33" i="29"/>
  <c r="F33" i="29"/>
  <c r="G33" i="29"/>
  <c r="H33" i="29"/>
  <c r="I33" i="29"/>
  <c r="D34" i="29"/>
  <c r="E34" i="29"/>
  <c r="F34" i="29"/>
  <c r="G34" i="29"/>
  <c r="H34" i="29"/>
  <c r="I34" i="29"/>
  <c r="D28" i="24"/>
  <c r="E28" i="24"/>
  <c r="F28" i="24"/>
  <c r="G28" i="24"/>
  <c r="H28" i="24"/>
  <c r="I28" i="24"/>
  <c r="I28" i="23"/>
  <c r="C28" i="23"/>
  <c r="D28" i="23"/>
  <c r="E28" i="23"/>
  <c r="F28" i="23"/>
  <c r="G28" i="23"/>
  <c r="H28" i="23"/>
  <c r="D10" i="7"/>
  <c r="H28" i="7"/>
  <c r="H21" i="7"/>
  <c r="C16" i="30"/>
  <c r="H11" i="7"/>
  <c r="D16" i="7"/>
  <c r="I31" i="27"/>
  <c r="C34" i="5"/>
  <c r="E11" i="5"/>
  <c r="C31" i="5"/>
  <c r="C5" i="5"/>
  <c r="E15" i="5"/>
  <c r="C32" i="5"/>
  <c r="E21" i="5"/>
  <c r="C33" i="5"/>
  <c r="E11" i="25"/>
  <c r="C34" i="25"/>
  <c r="E16" i="25"/>
  <c r="G16" i="25"/>
  <c r="E17" i="7"/>
  <c r="E21" i="25"/>
  <c r="C33" i="25"/>
  <c r="C27" i="30"/>
  <c r="C19" i="30"/>
  <c r="C18" i="30"/>
  <c r="H26" i="31"/>
  <c r="C25" i="30"/>
  <c r="C23" i="30"/>
  <c r="C11" i="30"/>
  <c r="C21" i="30"/>
  <c r="C13" i="7"/>
  <c r="G12" i="5"/>
  <c r="C27" i="7"/>
  <c r="J35" i="32"/>
  <c r="E22" i="5"/>
  <c r="C17" i="30"/>
  <c r="C26" i="30"/>
  <c r="G16" i="5"/>
  <c r="E26" i="5"/>
  <c r="E26" i="30"/>
  <c r="J12" i="29"/>
  <c r="C24" i="30"/>
  <c r="E18" i="30"/>
  <c r="C20" i="30"/>
  <c r="E23" i="30"/>
  <c r="C22" i="30"/>
  <c r="C10" i="30"/>
  <c r="E25" i="30"/>
  <c r="E17" i="30"/>
  <c r="E27" i="30"/>
  <c r="J28" i="23"/>
  <c r="E11" i="30"/>
  <c r="E21" i="30"/>
  <c r="G15" i="5"/>
  <c r="E32" i="5"/>
  <c r="G11" i="5"/>
  <c r="E31" i="5"/>
  <c r="G21" i="5"/>
  <c r="E33" i="5"/>
  <c r="E34" i="5"/>
  <c r="E16" i="30"/>
  <c r="E34" i="25"/>
  <c r="G11" i="25"/>
  <c r="G31" i="25" s="1"/>
  <c r="G21" i="25"/>
  <c r="E33" i="25"/>
  <c r="F13" i="7"/>
  <c r="G22" i="5"/>
  <c r="G33" i="5" s="1"/>
  <c r="G26" i="5"/>
  <c r="F17" i="7"/>
  <c r="E22" i="30"/>
  <c r="G27" i="30"/>
  <c r="E10" i="30"/>
  <c r="G17" i="30"/>
  <c r="G16" i="30"/>
  <c r="E20" i="30"/>
  <c r="E24" i="30"/>
  <c r="B5" i="31"/>
  <c r="A5" i="31"/>
  <c r="B5" i="26"/>
  <c r="A5" i="26"/>
  <c r="B5" i="27"/>
  <c r="A5" i="27"/>
  <c r="B5" i="30"/>
  <c r="A5" i="30"/>
  <c r="B5" i="25"/>
  <c r="A5" i="25"/>
  <c r="B5" i="29"/>
  <c r="A5" i="29"/>
  <c r="A5" i="24"/>
  <c r="H28" i="27"/>
  <c r="G21" i="30"/>
  <c r="G34" i="5"/>
  <c r="F12" i="7"/>
  <c r="F34" i="7"/>
  <c r="H34" i="7" s="1"/>
  <c r="G31" i="5"/>
  <c r="F22" i="7"/>
  <c r="F16" i="7"/>
  <c r="F35" i="7" s="1"/>
  <c r="G32" i="5"/>
  <c r="E12" i="7"/>
  <c r="E34" i="7" s="1"/>
  <c r="E22" i="7"/>
  <c r="H17" i="7"/>
  <c r="F27" i="7"/>
  <c r="F37" i="7" s="1"/>
  <c r="G20" i="30"/>
  <c r="G10" i="30"/>
  <c r="H22" i="7"/>
  <c r="F28" i="25"/>
  <c r="F28" i="30" s="1"/>
  <c r="A1" i="23"/>
  <c r="F34" i="31"/>
  <c r="D34" i="31"/>
  <c r="D33" i="31"/>
  <c r="F34" i="30"/>
  <c r="D31" i="31"/>
  <c r="G5" i="31"/>
  <c r="H28" i="26"/>
  <c r="F28" i="26"/>
  <c r="F28" i="31"/>
  <c r="D5" i="31"/>
  <c r="F5" i="31"/>
  <c r="C5" i="31"/>
  <c r="E5" i="27"/>
  <c r="D28" i="31"/>
  <c r="C28" i="26"/>
  <c r="D5" i="30"/>
  <c r="F5" i="30"/>
  <c r="A1" i="31"/>
  <c r="A1" i="26"/>
  <c r="A1" i="27"/>
  <c r="A1" i="30"/>
  <c r="A1" i="25"/>
  <c r="A1" i="29"/>
  <c r="D28" i="25"/>
  <c r="E30" i="27"/>
  <c r="I5" i="27"/>
  <c r="D30" i="31"/>
  <c r="F31" i="31"/>
  <c r="F30" i="31"/>
  <c r="C31" i="31"/>
  <c r="G31" i="31"/>
  <c r="J13" i="29"/>
  <c r="J14" i="29"/>
  <c r="J15" i="29"/>
  <c r="C35" i="23"/>
  <c r="E35" i="23"/>
  <c r="G35" i="23"/>
  <c r="C32" i="31"/>
  <c r="C35" i="26"/>
  <c r="D35" i="27"/>
  <c r="F32" i="31"/>
  <c r="D35" i="26"/>
  <c r="D32" i="31"/>
  <c r="C33" i="31"/>
  <c r="F33" i="31"/>
  <c r="C34" i="31"/>
  <c r="F35" i="23"/>
  <c r="E5" i="31"/>
  <c r="F35" i="26"/>
  <c r="E28" i="26"/>
  <c r="C28" i="31"/>
  <c r="C35" i="27"/>
  <c r="C35" i="32"/>
  <c r="D35" i="23"/>
  <c r="F35" i="27"/>
  <c r="D34" i="30"/>
  <c r="E28" i="27"/>
  <c r="H35" i="26"/>
  <c r="F30" i="30"/>
  <c r="F31" i="30"/>
  <c r="I35" i="23"/>
  <c r="D33" i="30"/>
  <c r="D31" i="30"/>
  <c r="D30" i="30"/>
  <c r="H35" i="23"/>
  <c r="D35" i="31"/>
  <c r="J31" i="29"/>
  <c r="F35" i="31"/>
  <c r="C14" i="25"/>
  <c r="C13" i="25"/>
  <c r="C15" i="25"/>
  <c r="C32" i="25"/>
  <c r="E30" i="31"/>
  <c r="E34" i="31"/>
  <c r="C5" i="25"/>
  <c r="J33" i="29"/>
  <c r="J32" i="29"/>
  <c r="D35" i="24"/>
  <c r="D35" i="29"/>
  <c r="C35" i="31"/>
  <c r="E35" i="24"/>
  <c r="E35" i="29"/>
  <c r="F35" i="24"/>
  <c r="F35" i="29"/>
  <c r="E32" i="31"/>
  <c r="G35" i="24"/>
  <c r="G35" i="29"/>
  <c r="E28" i="31"/>
  <c r="E33" i="31"/>
  <c r="E35" i="26"/>
  <c r="C35" i="24"/>
  <c r="C35" i="29"/>
  <c r="H35" i="24"/>
  <c r="H35" i="29"/>
  <c r="E31" i="31"/>
  <c r="E35" i="27"/>
  <c r="I35" i="24"/>
  <c r="I35" i="29"/>
  <c r="C31" i="25"/>
  <c r="E35" i="31"/>
  <c r="E15" i="25"/>
  <c r="C15" i="30"/>
  <c r="E13" i="25"/>
  <c r="C13" i="30"/>
  <c r="C12" i="30"/>
  <c r="E12" i="25"/>
  <c r="E14" i="25"/>
  <c r="C14" i="30"/>
  <c r="E5" i="25"/>
  <c r="J34" i="29"/>
  <c r="C32" i="30"/>
  <c r="C34" i="30"/>
  <c r="C33" i="30"/>
  <c r="E34" i="30"/>
  <c r="C31" i="30"/>
  <c r="E33" i="30"/>
  <c r="E31" i="25"/>
  <c r="E31" i="30"/>
  <c r="G12" i="25"/>
  <c r="E12" i="30"/>
  <c r="G13" i="25"/>
  <c r="E14" i="7"/>
  <c r="E13" i="30"/>
  <c r="G15" i="25"/>
  <c r="E15" i="30"/>
  <c r="G14" i="25"/>
  <c r="E15" i="7"/>
  <c r="E14" i="30"/>
  <c r="E13" i="7"/>
  <c r="E16" i="7"/>
  <c r="H15" i="7"/>
  <c r="H14" i="7"/>
  <c r="G12" i="30"/>
  <c r="G14" i="30"/>
  <c r="G13" i="30"/>
  <c r="G15" i="30"/>
  <c r="H13" i="7"/>
  <c r="D7" i="7" l="1"/>
  <c r="C11" i="7"/>
  <c r="C7" i="5"/>
  <c r="C5" i="30"/>
  <c r="C6" i="5"/>
  <c r="J5" i="29"/>
  <c r="E5" i="5"/>
  <c r="G9" i="25"/>
  <c r="E10" i="7" s="1"/>
  <c r="E9" i="30"/>
  <c r="C9" i="30"/>
  <c r="J30" i="24"/>
  <c r="J35" i="24" s="1"/>
  <c r="J35" i="29" s="1"/>
  <c r="C8" i="25"/>
  <c r="J28" i="24"/>
  <c r="G7" i="25"/>
  <c r="G6" i="25"/>
  <c r="G5" i="25"/>
  <c r="E6" i="7" s="1"/>
  <c r="E32" i="30"/>
  <c r="D35" i="30"/>
  <c r="D32" i="30"/>
  <c r="E19" i="30"/>
  <c r="G19" i="25"/>
  <c r="I34" i="26"/>
  <c r="D33" i="7"/>
  <c r="H16" i="31"/>
  <c r="I32" i="27"/>
  <c r="H17" i="31"/>
  <c r="H5" i="31"/>
  <c r="C6" i="7"/>
  <c r="I33" i="26"/>
  <c r="H24" i="31"/>
  <c r="H22" i="31"/>
  <c r="H21" i="31"/>
  <c r="G27" i="7"/>
  <c r="D13" i="7"/>
  <c r="G13" i="7" s="1"/>
  <c r="I31" i="26"/>
  <c r="H8" i="31"/>
  <c r="D18" i="7"/>
  <c r="D35" i="7" s="1"/>
  <c r="D24" i="7"/>
  <c r="I28" i="26"/>
  <c r="D23" i="7"/>
  <c r="G23" i="7" s="1"/>
  <c r="I11" i="7"/>
  <c r="H18" i="31"/>
  <c r="I32" i="26"/>
  <c r="G31" i="30"/>
  <c r="F10" i="7"/>
  <c r="H10" i="7" s="1"/>
  <c r="G9" i="30"/>
  <c r="G22" i="30"/>
  <c r="F23" i="7"/>
  <c r="G11" i="30"/>
  <c r="E24" i="7"/>
  <c r="H24" i="7" s="1"/>
  <c r="E8" i="7"/>
  <c r="H12" i="7"/>
  <c r="F35" i="30"/>
  <c r="F33" i="30"/>
  <c r="H16" i="7"/>
  <c r="H27" i="7"/>
  <c r="E37" i="7"/>
  <c r="H37" i="7" s="1"/>
  <c r="I27" i="7"/>
  <c r="G24" i="30"/>
  <c r="G34" i="25"/>
  <c r="G34" i="30" s="1"/>
  <c r="G33" i="25"/>
  <c r="G33" i="30" s="1"/>
  <c r="G25" i="30"/>
  <c r="G26" i="30"/>
  <c r="E5" i="30"/>
  <c r="G5" i="5"/>
  <c r="F6" i="7" s="1"/>
  <c r="D34" i="7"/>
  <c r="I19" i="7"/>
  <c r="H31" i="31"/>
  <c r="I13" i="7"/>
  <c r="D22" i="7"/>
  <c r="G22" i="7" s="1"/>
  <c r="G19" i="7"/>
  <c r="H9" i="31"/>
  <c r="G15" i="7"/>
  <c r="I15" i="7"/>
  <c r="I23" i="7"/>
  <c r="G16" i="7"/>
  <c r="I16" i="7"/>
  <c r="C36" i="7"/>
  <c r="C17" i="7"/>
  <c r="C35" i="7" s="1"/>
  <c r="H15" i="31"/>
  <c r="H14" i="31"/>
  <c r="H11" i="31"/>
  <c r="G35" i="27"/>
  <c r="G35" i="31" s="1"/>
  <c r="I30" i="27"/>
  <c r="H6" i="31"/>
  <c r="I28" i="27"/>
  <c r="I34" i="27"/>
  <c r="H34" i="31" s="1"/>
  <c r="I24" i="7"/>
  <c r="G24" i="7"/>
  <c r="G26" i="7"/>
  <c r="I26" i="7"/>
  <c r="H30" i="31"/>
  <c r="G10" i="7"/>
  <c r="I10" i="7"/>
  <c r="G9" i="7"/>
  <c r="G18" i="7"/>
  <c r="C34" i="7"/>
  <c r="G12" i="7"/>
  <c r="I12" i="7"/>
  <c r="G7" i="7"/>
  <c r="C33" i="7"/>
  <c r="C37" i="7"/>
  <c r="G28" i="7"/>
  <c r="I28" i="7"/>
  <c r="G8" i="7"/>
  <c r="G25" i="7"/>
  <c r="I25" i="7"/>
  <c r="I14" i="7"/>
  <c r="G14" i="7"/>
  <c r="G20" i="7"/>
  <c r="G21" i="7"/>
  <c r="I21" i="7"/>
  <c r="G11" i="7"/>
  <c r="H7" i="31"/>
  <c r="H13" i="31"/>
  <c r="I22" i="7"/>
  <c r="I33" i="27"/>
  <c r="H27" i="31"/>
  <c r="H20" i="31"/>
  <c r="H28" i="31" l="1"/>
  <c r="C7" i="30"/>
  <c r="E7" i="5"/>
  <c r="E6" i="5"/>
  <c r="E30" i="5" s="1"/>
  <c r="E35" i="5" s="1"/>
  <c r="C28" i="5"/>
  <c r="C6" i="30"/>
  <c r="C30" i="5"/>
  <c r="C35" i="5" s="1"/>
  <c r="J30" i="29"/>
  <c r="C8" i="30"/>
  <c r="C30" i="25"/>
  <c r="C28" i="25"/>
  <c r="C28" i="30" s="1"/>
  <c r="E8" i="25"/>
  <c r="E7" i="7"/>
  <c r="G5" i="30"/>
  <c r="E20" i="7"/>
  <c r="G19" i="30"/>
  <c r="G32" i="25"/>
  <c r="G32" i="30" s="1"/>
  <c r="I18" i="7"/>
  <c r="I35" i="26"/>
  <c r="H33" i="31"/>
  <c r="H32" i="31"/>
  <c r="D29" i="7"/>
  <c r="E36" i="7"/>
  <c r="H23" i="7"/>
  <c r="F36" i="7"/>
  <c r="D36" i="7"/>
  <c r="D38" i="7" s="1"/>
  <c r="G6" i="7"/>
  <c r="I6" i="7"/>
  <c r="C29" i="7"/>
  <c r="G17" i="7"/>
  <c r="I17" i="7"/>
  <c r="G35" i="7"/>
  <c r="G34" i="7"/>
  <c r="I34" i="7"/>
  <c r="I35" i="27"/>
  <c r="G33" i="7"/>
  <c r="C38" i="7"/>
  <c r="I37" i="7"/>
  <c r="G37" i="7"/>
  <c r="H35" i="31" l="1"/>
  <c r="G29" i="7"/>
  <c r="G7" i="5"/>
  <c r="E7" i="30"/>
  <c r="G6" i="5"/>
  <c r="E28" i="5"/>
  <c r="E6" i="30"/>
  <c r="G8" i="25"/>
  <c r="E8" i="30"/>
  <c r="E30" i="25"/>
  <c r="E28" i="25"/>
  <c r="C30" i="30"/>
  <c r="C35" i="25"/>
  <c r="C35" i="30" s="1"/>
  <c r="E35" i="7"/>
  <c r="I20" i="7"/>
  <c r="H20" i="7"/>
  <c r="H36" i="7"/>
  <c r="H6" i="7"/>
  <c r="G36" i="7"/>
  <c r="I36" i="7"/>
  <c r="G38" i="7"/>
  <c r="F7" i="7" l="1"/>
  <c r="G28" i="5"/>
  <c r="G30" i="5"/>
  <c r="G35" i="5" s="1"/>
  <c r="G6" i="30"/>
  <c r="E28" i="30"/>
  <c r="F8" i="7"/>
  <c r="G7" i="30"/>
  <c r="E35" i="25"/>
  <c r="E35" i="30" s="1"/>
  <c r="E30" i="30"/>
  <c r="E9" i="7"/>
  <c r="G8" i="30"/>
  <c r="G30" i="25"/>
  <c r="G28" i="25"/>
  <c r="G28" i="30" s="1"/>
  <c r="H35" i="7"/>
  <c r="I35" i="7"/>
  <c r="I8" i="7" l="1"/>
  <c r="H8" i="7"/>
  <c r="H7" i="7"/>
  <c r="F29" i="7"/>
  <c r="I7" i="7"/>
  <c r="F33" i="7"/>
  <c r="H9" i="7"/>
  <c r="I9" i="7"/>
  <c r="E29" i="7"/>
  <c r="E33" i="7"/>
  <c r="G30" i="30"/>
  <c r="G35" i="25"/>
  <c r="G35" i="30" s="1"/>
  <c r="J33" i="7" l="1"/>
  <c r="F38" i="7"/>
  <c r="J38" i="7" s="1"/>
  <c r="J36" i="7"/>
  <c r="J27" i="7"/>
  <c r="J15" i="7"/>
  <c r="J8" i="7"/>
  <c r="J14" i="7"/>
  <c r="J35" i="7"/>
  <c r="J24" i="7"/>
  <c r="J12" i="7"/>
  <c r="J21" i="7"/>
  <c r="J19" i="7"/>
  <c r="J11" i="7"/>
  <c r="J20" i="7"/>
  <c r="J37" i="7"/>
  <c r="J23" i="7"/>
  <c r="J10" i="7"/>
  <c r="J9" i="7"/>
  <c r="J17" i="7"/>
  <c r="J34" i="7"/>
  <c r="J6" i="7"/>
  <c r="J22" i="7"/>
  <c r="J18" i="7"/>
  <c r="J16" i="7"/>
  <c r="J29" i="7"/>
  <c r="J26" i="7"/>
  <c r="J25" i="7"/>
  <c r="J28" i="7"/>
  <c r="J13" i="7"/>
  <c r="J7" i="7"/>
  <c r="H29" i="7"/>
  <c r="I29" i="7"/>
  <c r="E38" i="7"/>
  <c r="I33" i="7"/>
  <c r="H33" i="7"/>
  <c r="H38" i="7" l="1"/>
  <c r="I38" i="7"/>
</calcChain>
</file>

<file path=xl/sharedStrings.xml><?xml version="1.0" encoding="utf-8"?>
<sst xmlns="http://schemas.openxmlformats.org/spreadsheetml/2006/main" count="3271" uniqueCount="220">
  <si>
    <t>Sygehus</t>
  </si>
  <si>
    <t>Rigshospitalet</t>
  </si>
  <si>
    <t>Nordsjællands Hospital</t>
  </si>
  <si>
    <t>Bornholms Hospital</t>
  </si>
  <si>
    <t>Odense Universitetshospital</t>
  </si>
  <si>
    <t>Sydvestjysk Sygehus</t>
  </si>
  <si>
    <t>Nr.</t>
  </si>
  <si>
    <t>Skema 1</t>
  </si>
  <si>
    <t>Skema 2</t>
  </si>
  <si>
    <t>Skema 3</t>
  </si>
  <si>
    <t>Skema 4</t>
  </si>
  <si>
    <t>Skema 5</t>
  </si>
  <si>
    <t>Skema 6</t>
  </si>
  <si>
    <t>Skema 7</t>
  </si>
  <si>
    <t>Hele landet</t>
  </si>
  <si>
    <t>Totale driftsudgifter, ekskl. udgifter der ikke bidrager til somatisk patient behandling</t>
  </si>
  <si>
    <t>Internt finansieret forskning 
(-)</t>
  </si>
  <si>
    <t>Korrigeret produktionsværdi, mio. kr.</t>
  </si>
  <si>
    <t>Udgifter</t>
  </si>
  <si>
    <t>Produktivitet</t>
  </si>
  <si>
    <t>Produk-tivitets-niveau</t>
  </si>
  <si>
    <t>Medicin på ambulante afdelinger
(-)</t>
  </si>
  <si>
    <t>De korrigerede tilrettede driftsudgifter
(=)</t>
  </si>
  <si>
    <t>De tilrettede driftsudgifter 
(=)</t>
  </si>
  <si>
    <t xml:space="preserve">Ambulant produktions-værdi inkl. genoptræning </t>
  </si>
  <si>
    <t xml:space="preserve">Stationær produktions-værdi inkl. genoptræning </t>
  </si>
  <si>
    <t xml:space="preserve">Korrektion for forskelle i organisering
(-) </t>
  </si>
  <si>
    <t>Produk-tionsværdi</t>
  </si>
  <si>
    <t>Hovedstaden</t>
  </si>
  <si>
    <t>Sjælland</t>
  </si>
  <si>
    <t>Syddanmark</t>
  </si>
  <si>
    <t>Midtjylland</t>
  </si>
  <si>
    <t>Nordjylland</t>
  </si>
  <si>
    <t>Korrigeret produktions-værdi
(=)</t>
  </si>
  <si>
    <t>Sygehus Sønderjylland</t>
  </si>
  <si>
    <t>Ukorrigeret produktions-værdi  i alt
(=)</t>
  </si>
  <si>
    <t>Tabel 1.</t>
  </si>
  <si>
    <t>Tabel 2.</t>
  </si>
  <si>
    <t>Tabel 4.</t>
  </si>
  <si>
    <t>Tabel 5.</t>
  </si>
  <si>
    <t>Tabel 7.</t>
  </si>
  <si>
    <t>Tabel 10.</t>
  </si>
  <si>
    <t>De korrigerede tilrettede driftsudgifter, mio. kr.</t>
  </si>
  <si>
    <t xml:space="preserve">Regionsspeci-fikke korrektioner
(-) </t>
  </si>
  <si>
    <t>Tabel 3.</t>
  </si>
  <si>
    <t>Tabel 6.</t>
  </si>
  <si>
    <t>Tabel 8.</t>
  </si>
  <si>
    <t>Tabel 9.</t>
  </si>
  <si>
    <t xml:space="preserve"> </t>
  </si>
  <si>
    <t>Tabel 0</t>
  </si>
  <si>
    <t>Hospitalsenheden Vest</t>
  </si>
  <si>
    <t>Regionshospitalet Randers</t>
  </si>
  <si>
    <t>Region Nordjylland</t>
  </si>
  <si>
    <t>I alt</t>
  </si>
  <si>
    <t>Region Midtjylland</t>
  </si>
  <si>
    <t>Region Syddanmark</t>
  </si>
  <si>
    <t>Region Hovedstaden</t>
  </si>
  <si>
    <t>Region Sjælland</t>
  </si>
  <si>
    <t>De resterende ark i mappen indeholder yderligere dokumentation af udvalgte dele af datamaterialet:</t>
  </si>
  <si>
    <t>3. Regionsspecifikke korrektioner i den statslige aktivitetspulje tilpasset produktivitetsanalysen</t>
  </si>
  <si>
    <t>Antal</t>
  </si>
  <si>
    <t>Korrektion</t>
  </si>
  <si>
    <t>Produktivitets-sygehus</t>
  </si>
  <si>
    <t>Gruppe</t>
  </si>
  <si>
    <t>Besøgstype</t>
  </si>
  <si>
    <t>DAGS-gruppe</t>
  </si>
  <si>
    <t>Cancer-grupper</t>
  </si>
  <si>
    <t>Uden besøg</t>
  </si>
  <si>
    <t>PG12C_UB</t>
  </si>
  <si>
    <t>PG12C</t>
  </si>
  <si>
    <t>DG30J</t>
  </si>
  <si>
    <t>PG11F</t>
  </si>
  <si>
    <t>PG11G</t>
  </si>
  <si>
    <t>PG11D</t>
  </si>
  <si>
    <t>PG11E</t>
  </si>
  <si>
    <t>PG11I</t>
  </si>
  <si>
    <t>AMD</t>
  </si>
  <si>
    <t>PG11F_UB</t>
  </si>
  <si>
    <t>PG11D_UB</t>
  </si>
  <si>
    <t>PG11C</t>
  </si>
  <si>
    <t>GR0209</t>
  </si>
  <si>
    <t>SP13E_UB</t>
  </si>
  <si>
    <t>PG11H</t>
  </si>
  <si>
    <t>PG11E_UB</t>
  </si>
  <si>
    <t>PG11H_UB</t>
  </si>
  <si>
    <t>PG11C_UB</t>
  </si>
  <si>
    <t>PG11G_UB</t>
  </si>
  <si>
    <t>GR0207</t>
  </si>
  <si>
    <t>PG11A</t>
  </si>
  <si>
    <t>PG11I_UB</t>
  </si>
  <si>
    <t>Hospitalsenhed Midt</t>
  </si>
  <si>
    <t>SP13E</t>
  </si>
  <si>
    <t>PG11J</t>
  </si>
  <si>
    <t>Holbæk Sygehus</t>
  </si>
  <si>
    <t>De Vestdanske Friklinikker, Give</t>
  </si>
  <si>
    <t>Fredericia og Kolding sygehuse</t>
  </si>
  <si>
    <t>Aalborg Universitetshospital</t>
  </si>
  <si>
    <t>Roskilde og Køge sygehuse</t>
  </si>
  <si>
    <t>Næstved, Slagelse og Ringsted sygehuse</t>
  </si>
  <si>
    <t>Nykøbing Sygehus</t>
  </si>
  <si>
    <t>Hospitalenheden Horsens</t>
  </si>
  <si>
    <t>PG11B</t>
  </si>
  <si>
    <t>PG11J_UB</t>
  </si>
  <si>
    <t>Vejle-Give-Middelfart sygehuse</t>
  </si>
  <si>
    <t>PG11A_UB</t>
  </si>
  <si>
    <t>Bispebjerg og Frederiksberg Hospital</t>
  </si>
  <si>
    <t>Amager og Hvidovre Hospital</t>
  </si>
  <si>
    <t>Aarhus Universitetshospital</t>
  </si>
  <si>
    <t/>
  </si>
  <si>
    <t>Stykpris
før
korrektion</t>
  </si>
  <si>
    <t>Pris før
korrektion</t>
  </si>
  <si>
    <t>Stykpris
efter
korrektion</t>
  </si>
  <si>
    <t>Pris efter
korrektion</t>
  </si>
  <si>
    <t>Næstved, Slagelse og
Ringsted sygehuse</t>
  </si>
  <si>
    <t>Odense
Universitetshospital</t>
  </si>
  <si>
    <t>Fredericia og Kolding
sygehuse</t>
  </si>
  <si>
    <t>Vejle-Give-Middelfart
sygehuse</t>
  </si>
  <si>
    <t>De Vestdanske
Friklinikker, Give</t>
  </si>
  <si>
    <t>Regionshospitalet
Randers</t>
  </si>
  <si>
    <t>Aalborg
Universitetshospital</t>
  </si>
  <si>
    <t>Amager og Hvidovre
Hospital</t>
  </si>
  <si>
    <t>Herlev og Gentofte Hospital</t>
  </si>
  <si>
    <t xml:space="preserve">Sygehusenes nettodriftsudgifter for 2015, 1.000 kr. 2015 priser </t>
  </si>
  <si>
    <t>Sygehusnr.</t>
  </si>
  <si>
    <t>Region</t>
  </si>
  <si>
    <t>Rigshospitalet og Glostrup</t>
  </si>
  <si>
    <t>Amager og Hvidovre</t>
  </si>
  <si>
    <t>Holbæk sygehus</t>
  </si>
  <si>
    <t>Nykøbing Sygehuse</t>
  </si>
  <si>
    <t>Odense Universistetshospital</t>
  </si>
  <si>
    <t>Sydvestjysk sygehus</t>
  </si>
  <si>
    <t>Hospitalsenheden Horsens</t>
  </si>
  <si>
    <t>PG12B_UB</t>
  </si>
  <si>
    <t>PG12B</t>
  </si>
  <si>
    <t>PG12B_FI</t>
  </si>
  <si>
    <t>SP13E_FI</t>
  </si>
  <si>
    <t>PG11F_FI</t>
  </si>
  <si>
    <t>PG12M_UB</t>
  </si>
  <si>
    <t>PG12N_UB</t>
  </si>
  <si>
    <t>PG12M</t>
  </si>
  <si>
    <t>PG12N</t>
  </si>
  <si>
    <t>PG11D_FI</t>
  </si>
  <si>
    <t>PG12M_FI</t>
  </si>
  <si>
    <t>PG12N_FI</t>
  </si>
  <si>
    <t>PG11B_FI</t>
  </si>
  <si>
    <t>PG11C_FI</t>
  </si>
  <si>
    <t>PG11E_FI</t>
  </si>
  <si>
    <t>PG11H_FI</t>
  </si>
  <si>
    <t>PG11I_FI</t>
  </si>
  <si>
    <t>PG11G_FI</t>
  </si>
  <si>
    <t>Bispebjerg og
Frederiksberg Hospital</t>
  </si>
  <si>
    <t>Herlev og Gentofte
Hospital</t>
  </si>
  <si>
    <t>PG11A_FI</t>
  </si>
  <si>
    <t>PG12C_FI</t>
  </si>
  <si>
    <t>PG11B_UB</t>
  </si>
  <si>
    <t>GR0217</t>
  </si>
  <si>
    <t>Chr. X Gigthospital</t>
  </si>
  <si>
    <t>Århus
Universitetshospital</t>
  </si>
  <si>
    <t>GR0206</t>
  </si>
  <si>
    <t>BG50C: Besøg
med journal</t>
  </si>
  <si>
    <t>BG50B: Besøg
pat. 0 - 6 år</t>
  </si>
  <si>
    <t>BG50A: Besøg
pat. 7 år +</t>
  </si>
  <si>
    <t>GR2719/22</t>
  </si>
  <si>
    <t>GR2719</t>
  </si>
  <si>
    <t>GR2719_F</t>
  </si>
  <si>
    <t>GR2722</t>
  </si>
  <si>
    <t>GR2722_F</t>
  </si>
  <si>
    <t>Andre grupper inkl.
PG11 uden cancer</t>
  </si>
  <si>
    <t>PG11 med cancer</t>
  </si>
  <si>
    <t>P/L-faktor (15--&gt;16):</t>
  </si>
  <si>
    <t>Regionshospitalet Nordjylland</t>
  </si>
  <si>
    <t>1. Dokumentation af korrektion for medicin på produktionssiden, 2015:</t>
  </si>
  <si>
    <t>2. Dokumentation af korrektion for medicin på produktionssiden, 2016:</t>
  </si>
  <si>
    <t xml:space="preserve">Sygehusenes nettodriftsudgifter for 2015, 1.000 kr. 2016-priser </t>
  </si>
  <si>
    <t xml:space="preserve">Sygehusenes nettodriftsudgifter for 2016, 1.000 kr. 2016 priser </t>
  </si>
  <si>
    <t>Sygehusenes nettodriftsudgifter, procentvis ændring fra 2015-2016</t>
  </si>
  <si>
    <t xml:space="preserve">Korrigerede tilrettede driftudgifter for 2015, 1.000 kr. 2016 priser </t>
  </si>
  <si>
    <t xml:space="preserve">Korrigerede tilrettede driftudgifter for 2016, 1.000 kr. 2016 priser </t>
  </si>
  <si>
    <t>Korrigerede tilrettede driftudgifter, procentvis ændring fra 2015-2016</t>
  </si>
  <si>
    <t>Korrigeret produktionsværdi, 2015-aktivitet med LPR pr. 10. marts 2016, 1.000 kr., 2016-takstsystem</t>
  </si>
  <si>
    <t>Korrigeret produktionsværdi, 2016-aktivitet med LPR pr. 10. marts 2017 (10. juni), 1.000 kr., 2016-takstsystem</t>
  </si>
  <si>
    <t>Korrigeret produktionsværdi, procentvis ændring fra 2015-2016</t>
  </si>
  <si>
    <t>Produktionsværdi, udgifter og produktivitet for amter og sygehuse, 2015-2016</t>
  </si>
  <si>
    <t>Udvikling, 2015-2016, pct.</t>
  </si>
  <si>
    <t>Sjællands Universitetshospital</t>
  </si>
  <si>
    <t>1. Ændret registreringspraksis EKG, Amager/Hvidovre</t>
  </si>
  <si>
    <t>3. Omlægning fra stationær til ambulant behandling, polypper, Bispebjerg/Frederiksberg</t>
  </si>
  <si>
    <t>6. Neonatal hørescreening, Nordsjællands Hospitaler</t>
  </si>
  <si>
    <t>7. Omlægning fra stationære til ambulant behandling, gynækologisk afdeling, Nordsjællands Hospital</t>
  </si>
  <si>
    <t>8. Ændret registreringspraksis for deldøgnsindlæggelser, kardiologisk afdeling, Herlev/Gentofte Hospital</t>
  </si>
  <si>
    <t>11. Omlægning fra stationær til ambulant behandling, hæmatologisk afdeling, Herlev/Gentofte Hospital</t>
  </si>
  <si>
    <t>14. Omlægning fra stationær til ambulant behandling, CF-forløb, Rigshospitalet</t>
  </si>
  <si>
    <t>1. Omlægning fra stationær til ambulant behandling, Øre/Næse/Hals, Sjællands Universitetshospital</t>
  </si>
  <si>
    <t>1. Ændret registreringspraksis, Øjenafdeling E, OUH</t>
  </si>
  <si>
    <t>2. Omlægning fra stationær til ambulant behandling Børne- og Ungeafdelingen, Sydvestjysk Sygehus</t>
  </si>
  <si>
    <t>4. Omlægning fra stationær til ambulant behandling, Akut Medicinsk Modtagerafsnit, Sydvestjysk Sygehus</t>
  </si>
  <si>
    <t>5. Ændret registreringspraksis, Oftamologisk speciale, OUH</t>
  </si>
  <si>
    <t>5. Ændret registreringspraksis, Oftamologisk speciale, Vejle/Give/Middelfart Sygehus</t>
  </si>
  <si>
    <t>6. Omlægning fra stationær til ambulant behandling, DC-konverteringer, Sydvestjysk Sygehus</t>
  </si>
  <si>
    <t>6. Omlægning fra stationær til ambulant behandling, DC-konverteringer, Vejle/Give/Middelfart Sygehus</t>
  </si>
  <si>
    <t>7. Ændret registreringspraksis, DC-konverteringer, OUH</t>
  </si>
  <si>
    <t>8. Ændret registreringspraksis, neurofysiologiske assistancer, Sygehus Sønderjylland</t>
  </si>
  <si>
    <t>9. Ændret registreringspraksis, Hjertemedicinsk afdeling, OUH</t>
  </si>
  <si>
    <t>10. Ændret behandlingsforløb, Øjenafdelingen, OUH</t>
  </si>
  <si>
    <t>11. Omlægning fra stationær til ambulant behandling, Afdeling L, OUH</t>
  </si>
  <si>
    <t>12. Ændret registreringspraksis, ambulante assistancer, OUH</t>
  </si>
  <si>
    <t>13. Omlægning fra stationær til ambulant behandling, Afdeling I, OUH</t>
  </si>
  <si>
    <t>3. Omlægning fra ambulant til tele, Kræftafdelingen, Aarhus Universitetshospital</t>
  </si>
  <si>
    <t>4. Ændret behandlingspraksis, Afdeling V, Aarhus Universitetshospital</t>
  </si>
  <si>
    <t>5. Sengelukninger, Aarhus Universitetshospital</t>
  </si>
  <si>
    <t>6. Ændret behandlingspraksis, Nyremedicinsk Afdeling, Aarhus Universitetshospital</t>
  </si>
  <si>
    <t>7. Omlægning fra stationær til ambulant behandling, Akutafdelingen, Hospitalsenheden Horsens</t>
  </si>
  <si>
    <t>9. Omlægning fra stationær til ambulant behandling, karkirurgisk, Hospitalsenhed Midt</t>
  </si>
  <si>
    <t>10. Ændret behandlingspraksis, Kræftafdelingen, Aarhus Universitetshospital</t>
  </si>
  <si>
    <t>Korrektion i t.kr</t>
  </si>
  <si>
    <t>Andre grupper
inkl. PG11 uden
cancer</t>
  </si>
  <si>
    <t>Sjællands
Universitetshospital</t>
  </si>
  <si>
    <t>Hospitalenheden
Horsens</t>
  </si>
  <si>
    <t>Regionshospitalet
Nordjylland</t>
  </si>
  <si>
    <t>Endelig version 31. januar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</si>
</sst>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00"/>
    <numFmt numFmtId="167" formatCode="###,###,###,##0"/>
    <numFmt numFmtId="168" formatCode="###################################0"/>
    <numFmt numFmtId="169" formatCode="#########################0"/>
    <numFmt numFmtId="170" formatCode="#,##0.0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8"/>
      <color rgb="FF112277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MS Sans Serif"/>
    </font>
    <font>
      <b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21" applyNumberFormat="0" applyAlignment="0" applyProtection="0"/>
    <xf numFmtId="0" fontId="32" fillId="10" borderId="22" applyNumberFormat="0" applyAlignment="0" applyProtection="0"/>
    <xf numFmtId="0" fontId="33" fillId="10" borderId="21" applyNumberFormat="0" applyAlignment="0" applyProtection="0"/>
    <xf numFmtId="0" fontId="34" fillId="0" borderId="23" applyNumberFormat="0" applyFill="0" applyAlignment="0" applyProtection="0"/>
    <xf numFmtId="0" fontId="35" fillId="11" borderId="2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225">
    <xf numFmtId="0" fontId="0" fillId="0" borderId="0" xfId="0"/>
    <xf numFmtId="0" fontId="3" fillId="0" borderId="0" xfId="25" applyFont="1" applyFill="1" applyAlignment="1">
      <alignment horizontal="center"/>
    </xf>
    <xf numFmtId="0" fontId="3" fillId="0" borderId="0" xfId="25" applyFont="1" applyFill="1" applyAlignment="1">
      <alignment horizontal="right"/>
    </xf>
    <xf numFmtId="3" fontId="5" fillId="2" borderId="0" xfId="25" applyNumberFormat="1" applyFont="1" applyFill="1" applyBorder="1" applyAlignment="1">
      <alignment horizontal="right" vertical="center"/>
    </xf>
    <xf numFmtId="0" fontId="5" fillId="2" borderId="3" xfId="20" applyFont="1" applyFill="1" applyBorder="1" applyAlignment="1">
      <alignment horizontal="left" vertical="center" wrapText="1"/>
    </xf>
    <xf numFmtId="3" fontId="5" fillId="2" borderId="9" xfId="20" applyNumberFormat="1" applyFont="1" applyFill="1" applyBorder="1" applyAlignment="1"/>
    <xf numFmtId="3" fontId="5" fillId="2" borderId="3" xfId="20" applyNumberFormat="1" applyFont="1" applyFill="1" applyBorder="1" applyAlignment="1"/>
    <xf numFmtId="0" fontId="5" fillId="2" borderId="2" xfId="20" applyFont="1" applyFill="1" applyBorder="1" applyAlignment="1">
      <alignment horizontal="left" vertical="center" wrapText="1"/>
    </xf>
    <xf numFmtId="3" fontId="5" fillId="2" borderId="2" xfId="20" applyNumberFormat="1" applyFont="1" applyFill="1" applyBorder="1" applyAlignment="1"/>
    <xf numFmtId="3" fontId="5" fillId="2" borderId="2" xfId="25" applyNumberFormat="1" applyFont="1" applyFill="1" applyBorder="1" applyAlignment="1">
      <alignment vertical="center"/>
    </xf>
    <xf numFmtId="3" fontId="5" fillId="2" borderId="6" xfId="20" applyNumberFormat="1" applyFont="1" applyFill="1" applyBorder="1" applyAlignment="1"/>
    <xf numFmtId="0" fontId="7" fillId="2" borderId="1" xfId="25" applyFont="1" applyFill="1" applyBorder="1" applyAlignment="1">
      <alignment horizontal="left" wrapText="1"/>
    </xf>
    <xf numFmtId="0" fontId="7" fillId="2" borderId="1" xfId="25" applyFont="1" applyFill="1" applyBorder="1" applyAlignment="1">
      <alignment horizontal="right" wrapText="1"/>
    </xf>
    <xf numFmtId="0" fontId="5" fillId="2" borderId="1" xfId="25" applyFont="1" applyFill="1" applyBorder="1" applyAlignment="1">
      <alignment horizontal="left"/>
    </xf>
    <xf numFmtId="3" fontId="5" fillId="2" borderId="1" xfId="25" applyNumberFormat="1" applyFont="1" applyFill="1" applyBorder="1" applyAlignment="1">
      <alignment vertical="center"/>
    </xf>
    <xf numFmtId="0" fontId="5" fillId="2" borderId="0" xfId="25" applyFont="1" applyFill="1" applyAlignment="1">
      <alignment horizontal="center"/>
    </xf>
    <xf numFmtId="3" fontId="5" fillId="2" borderId="0" xfId="25" applyNumberFormat="1" applyFont="1" applyFill="1" applyBorder="1" applyAlignment="1">
      <alignment vertical="center"/>
    </xf>
    <xf numFmtId="0" fontId="5" fillId="2" borderId="3" xfId="25" applyFont="1" applyFill="1" applyBorder="1" applyAlignment="1">
      <alignment horizontal="left" wrapText="1"/>
    </xf>
    <xf numFmtId="3" fontId="5" fillId="2" borderId="8" xfId="20" applyNumberFormat="1" applyFont="1" applyFill="1" applyBorder="1" applyAlignment="1"/>
    <xf numFmtId="0" fontId="5" fillId="2" borderId="2" xfId="25" applyFont="1" applyFill="1" applyBorder="1" applyAlignment="1">
      <alignment horizontal="left" wrapText="1"/>
    </xf>
    <xf numFmtId="0" fontId="5" fillId="2" borderId="4" xfId="25" applyFont="1" applyFill="1" applyBorder="1" applyAlignment="1">
      <alignment horizontal="left" wrapText="1"/>
    </xf>
    <xf numFmtId="3" fontId="5" fillId="2" borderId="4" xfId="20" applyNumberFormat="1" applyFont="1" applyFill="1" applyBorder="1" applyAlignment="1"/>
    <xf numFmtId="3" fontId="5" fillId="2" borderId="10" xfId="20" applyNumberFormat="1" applyFont="1" applyFill="1" applyBorder="1" applyAlignment="1"/>
    <xf numFmtId="3" fontId="5" fillId="2" borderId="1" xfId="20" applyNumberFormat="1" applyFont="1" applyFill="1" applyBorder="1" applyAlignment="1"/>
    <xf numFmtId="0" fontId="3" fillId="2" borderId="0" xfId="25" applyFont="1" applyFill="1" applyAlignment="1">
      <alignment horizontal="center"/>
    </xf>
    <xf numFmtId="3" fontId="5" fillId="2" borderId="11" xfId="14" applyNumberFormat="1" applyFont="1" applyFill="1" applyBorder="1"/>
    <xf numFmtId="0" fontId="3" fillId="2" borderId="0" xfId="25" applyFont="1" applyFill="1" applyAlignment="1">
      <alignment horizontal="right"/>
    </xf>
    <xf numFmtId="0" fontId="6" fillId="2" borderId="0" xfId="25" applyFont="1" applyFill="1" applyBorder="1" applyAlignment="1">
      <alignment horizontal="right" vertical="center" wrapText="1"/>
    </xf>
    <xf numFmtId="0" fontId="3" fillId="2" borderId="0" xfId="25" applyFont="1" applyFill="1" applyBorder="1" applyAlignment="1">
      <alignment horizontal="right"/>
    </xf>
    <xf numFmtId="3" fontId="5" fillId="2" borderId="2" xfId="25" applyNumberFormat="1" applyFont="1" applyFill="1" applyBorder="1" applyAlignment="1">
      <alignment vertical="center" wrapText="1"/>
    </xf>
    <xf numFmtId="0" fontId="5" fillId="2" borderId="4" xfId="25" applyFont="1" applyFill="1" applyBorder="1" applyAlignment="1">
      <alignment horizontal="left"/>
    </xf>
    <xf numFmtId="0" fontId="6" fillId="2" borderId="0" xfId="14" applyFont="1" applyFill="1" applyBorder="1" applyAlignment="1">
      <alignment horizontal="left"/>
    </xf>
    <xf numFmtId="0" fontId="11" fillId="2" borderId="0" xfId="14" applyFont="1" applyFill="1" applyBorder="1" applyAlignment="1">
      <alignment horizontal="right"/>
    </xf>
    <xf numFmtId="0" fontId="6" fillId="2" borderId="0" xfId="20" applyFont="1" applyFill="1" applyBorder="1" applyAlignment="1">
      <alignment horizontal="left"/>
    </xf>
    <xf numFmtId="0" fontId="3" fillId="2" borderId="0" xfId="25" quotePrefix="1" applyFont="1" applyFill="1" applyAlignment="1">
      <alignment horizontal="left"/>
    </xf>
    <xf numFmtId="3" fontId="3" fillId="2" borderId="0" xfId="25" applyNumberFormat="1" applyFont="1" applyFill="1" applyAlignment="1">
      <alignment horizontal="center"/>
    </xf>
    <xf numFmtId="3" fontId="3" fillId="2" borderId="0" xfId="25" applyNumberFormat="1" applyFont="1" applyFill="1" applyAlignment="1">
      <alignment horizontal="right"/>
    </xf>
    <xf numFmtId="0" fontId="5" fillId="2" borderId="0" xfId="25" applyFont="1" applyFill="1" applyAlignment="1">
      <alignment horizontal="left"/>
    </xf>
    <xf numFmtId="0" fontId="3" fillId="2" borderId="0" xfId="25" applyFont="1" applyFill="1" applyAlignment="1">
      <alignment horizontal="left"/>
    </xf>
    <xf numFmtId="0" fontId="3" fillId="2" borderId="0" xfId="25" applyFont="1" applyFill="1" applyBorder="1" applyAlignment="1">
      <alignment horizontal="center"/>
    </xf>
    <xf numFmtId="0" fontId="7" fillId="2" borderId="0" xfId="25" applyFont="1" applyFill="1" applyBorder="1" applyAlignment="1">
      <alignment horizontal="center" wrapText="1"/>
    </xf>
    <xf numFmtId="0" fontId="5" fillId="2" borderId="0" xfId="25" applyFont="1" applyFill="1" applyBorder="1" applyAlignment="1">
      <alignment horizontal="center"/>
    </xf>
    <xf numFmtId="0" fontId="5" fillId="2" borderId="0" xfId="25" applyFont="1" applyFill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0" fontId="11" fillId="2" borderId="0" xfId="14" applyFont="1" applyFill="1" applyBorder="1" applyAlignment="1">
      <alignment horizontal="right" vertical="center" wrapText="1"/>
    </xf>
    <xf numFmtId="3" fontId="5" fillId="2" borderId="0" xfId="25" applyNumberFormat="1" applyFont="1" applyFill="1" applyBorder="1" applyAlignment="1">
      <alignment horizontal="right"/>
    </xf>
    <xf numFmtId="0" fontId="10" fillId="2" borderId="0" xfId="14" applyFont="1" applyFill="1" applyBorder="1" applyAlignment="1">
      <alignment horizontal="left" vertical="center" wrapText="1"/>
    </xf>
    <xf numFmtId="3" fontId="5" fillId="2" borderId="0" xfId="20" applyNumberFormat="1" applyFont="1" applyFill="1" applyBorder="1" applyAlignment="1"/>
    <xf numFmtId="0" fontId="13" fillId="2" borderId="0" xfId="14" applyFont="1" applyFill="1" applyBorder="1" applyAlignment="1">
      <alignment horizontal="right" vertical="center" wrapText="1"/>
    </xf>
    <xf numFmtId="0" fontId="10" fillId="2" borderId="0" xfId="14" applyFont="1" applyFill="1" applyBorder="1" applyAlignment="1">
      <alignment horizontal="right" vertical="center" wrapText="1"/>
    </xf>
    <xf numFmtId="0" fontId="9" fillId="2" borderId="0" xfId="25" applyFont="1" applyFill="1" applyAlignment="1">
      <alignment horizontal="left"/>
    </xf>
    <xf numFmtId="0" fontId="4" fillId="2" borderId="0" xfId="20" applyFill="1"/>
    <xf numFmtId="0" fontId="0" fillId="2" borderId="0" xfId="0" applyFill="1"/>
    <xf numFmtId="0" fontId="11" fillId="2" borderId="0" xfId="20" applyFont="1" applyFill="1" applyBorder="1" applyAlignment="1">
      <alignment horizontal="right"/>
    </xf>
    <xf numFmtId="0" fontId="7" fillId="2" borderId="0" xfId="25" applyFont="1" applyFill="1" applyBorder="1" applyAlignment="1">
      <alignment horizontal="right" wrapText="1"/>
    </xf>
    <xf numFmtId="3" fontId="5" fillId="2" borderId="0" xfId="29" applyNumberFormat="1" applyFont="1" applyFill="1" applyBorder="1" applyAlignment="1">
      <alignment vertical="center" wrapText="1"/>
    </xf>
    <xf numFmtId="165" fontId="5" fillId="2" borderId="0" xfId="1" applyNumberFormat="1" applyFont="1" applyFill="1" applyBorder="1" applyAlignment="1">
      <alignment horizontal="center"/>
    </xf>
    <xf numFmtId="0" fontId="13" fillId="2" borderId="0" xfId="14" applyFont="1" applyFill="1" applyBorder="1" applyAlignment="1">
      <alignment horizontal="left" vertical="center" wrapText="1"/>
    </xf>
    <xf numFmtId="0" fontId="5" fillId="2" borderId="0" xfId="26" applyFont="1" applyFill="1" applyBorder="1" applyAlignment="1">
      <alignment horizontal="right" wrapText="1"/>
    </xf>
    <xf numFmtId="3" fontId="5" fillId="2" borderId="0" xfId="26" applyNumberFormat="1" applyFont="1" applyFill="1" applyBorder="1" applyAlignment="1">
      <alignment horizontal="right" wrapText="1"/>
    </xf>
    <xf numFmtId="165" fontId="5" fillId="2" borderId="0" xfId="25" applyNumberFormat="1" applyFont="1" applyFill="1" applyBorder="1" applyAlignment="1">
      <alignment horizontal="center"/>
    </xf>
    <xf numFmtId="3" fontId="3" fillId="2" borderId="0" xfId="25" applyNumberFormat="1" applyFont="1" applyFill="1" applyBorder="1" applyAlignment="1">
      <alignment horizontal="center"/>
    </xf>
    <xf numFmtId="0" fontId="5" fillId="2" borderId="0" xfId="25" applyFont="1" applyFill="1" applyBorder="1" applyAlignment="1">
      <alignment horizontal="left" wrapText="1"/>
    </xf>
    <xf numFmtId="165" fontId="5" fillId="2" borderId="0" xfId="2" applyNumberFormat="1" applyFont="1" applyFill="1" applyBorder="1" applyAlignment="1">
      <alignment horizontal="center"/>
    </xf>
    <xf numFmtId="3" fontId="5" fillId="2" borderId="11" xfId="20" applyNumberFormat="1" applyFont="1" applyFill="1" applyBorder="1"/>
    <xf numFmtId="0" fontId="4" fillId="2" borderId="0" xfId="20" applyFill="1" applyAlignment="1">
      <alignment horizontal="left"/>
    </xf>
    <xf numFmtId="0" fontId="4" fillId="2" borderId="0" xfId="20" applyFill="1" applyBorder="1" applyAlignment="1">
      <alignment horizontal="left"/>
    </xf>
    <xf numFmtId="0" fontId="4" fillId="2" borderId="0" xfId="20" applyFill="1" applyBorder="1"/>
    <xf numFmtId="0" fontId="5" fillId="2" borderId="0" xfId="20" applyFont="1" applyFill="1" applyBorder="1" applyAlignment="1">
      <alignment horizontal="left" vertical="center" wrapText="1"/>
    </xf>
    <xf numFmtId="166" fontId="5" fillId="2" borderId="0" xfId="25" applyNumberFormat="1" applyFont="1" applyFill="1" applyBorder="1" applyAlignment="1">
      <alignment horizontal="right" vertical="center"/>
    </xf>
    <xf numFmtId="3" fontId="4" fillId="2" borderId="0" xfId="20" applyNumberFormat="1" applyFill="1"/>
    <xf numFmtId="0" fontId="7" fillId="2" borderId="3" xfId="25" applyFont="1" applyFill="1" applyBorder="1" applyAlignment="1">
      <alignment horizontal="right" wrapText="1"/>
    </xf>
    <xf numFmtId="0" fontId="9" fillId="2" borderId="0" xfId="25" applyFont="1" applyFill="1" applyAlignment="1"/>
    <xf numFmtId="0" fontId="7" fillId="2" borderId="3" xfId="25" applyFont="1" applyFill="1" applyBorder="1" applyAlignment="1">
      <alignment horizontal="left" wrapText="1"/>
    </xf>
    <xf numFmtId="0" fontId="5" fillId="2" borderId="8" xfId="20" applyFont="1" applyFill="1" applyBorder="1" applyAlignment="1">
      <alignment horizontal="left" vertical="center" wrapText="1"/>
    </xf>
    <xf numFmtId="0" fontId="5" fillId="2" borderId="9" xfId="20" applyFont="1" applyFill="1" applyBorder="1" applyAlignment="1">
      <alignment horizontal="left" vertical="center" wrapText="1"/>
    </xf>
    <xf numFmtId="3" fontId="5" fillId="2" borderId="12" xfId="25" applyNumberFormat="1" applyFont="1" applyFill="1" applyBorder="1" applyAlignment="1">
      <alignment vertical="center" wrapText="1"/>
    </xf>
    <xf numFmtId="0" fontId="3" fillId="2" borderId="0" xfId="25" applyFont="1" applyFill="1" applyBorder="1" applyAlignment="1">
      <alignment horizontal="left"/>
    </xf>
    <xf numFmtId="0" fontId="16" fillId="2" borderId="0" xfId="25" applyFont="1" applyFill="1" applyAlignment="1">
      <alignment horizontal="left"/>
    </xf>
    <xf numFmtId="164" fontId="3" fillId="2" borderId="0" xfId="25" applyNumberFormat="1" applyFont="1" applyFill="1" applyBorder="1" applyAlignment="1">
      <alignment horizontal="center"/>
    </xf>
    <xf numFmtId="164" fontId="3" fillId="2" borderId="0" xfId="25" applyNumberFormat="1" applyFont="1" applyFill="1" applyAlignment="1">
      <alignment horizontal="center"/>
    </xf>
    <xf numFmtId="3" fontId="5" fillId="2" borderId="2" xfId="25" applyNumberFormat="1" applyFont="1" applyFill="1" applyBorder="1" applyAlignment="1">
      <alignment horizontal="right" vertical="center" wrapText="1"/>
    </xf>
    <xf numFmtId="3" fontId="5" fillId="2" borderId="2" xfId="25" applyNumberFormat="1" applyFont="1" applyFill="1" applyBorder="1" applyAlignment="1">
      <alignment horizontal="right" vertical="center"/>
    </xf>
    <xf numFmtId="3" fontId="5" fillId="2" borderId="1" xfId="25" applyNumberFormat="1" applyFont="1" applyFill="1" applyBorder="1" applyAlignment="1">
      <alignment horizontal="right" vertical="center"/>
    </xf>
    <xf numFmtId="3" fontId="5" fillId="2" borderId="3" xfId="25" applyNumberFormat="1" applyFont="1" applyFill="1" applyBorder="1" applyAlignment="1">
      <alignment horizontal="right" vertical="center" wrapText="1"/>
    </xf>
    <xf numFmtId="3" fontId="5" fillId="2" borderId="9" xfId="20" applyNumberFormat="1" applyFont="1" applyFill="1" applyBorder="1" applyAlignment="1">
      <alignment horizontal="right"/>
    </xf>
    <xf numFmtId="3" fontId="5" fillId="2" borderId="6" xfId="20" applyNumberFormat="1" applyFont="1" applyFill="1" applyBorder="1" applyAlignment="1">
      <alignment horizontal="right"/>
    </xf>
    <xf numFmtId="3" fontId="5" fillId="2" borderId="10" xfId="20" applyNumberFormat="1" applyFont="1" applyFill="1" applyBorder="1" applyAlignment="1">
      <alignment horizontal="right"/>
    </xf>
    <xf numFmtId="3" fontId="5" fillId="2" borderId="12" xfId="25" applyNumberFormat="1" applyFont="1" applyFill="1" applyBorder="1" applyAlignment="1">
      <alignment horizontal="right" vertical="center" wrapText="1"/>
    </xf>
    <xf numFmtId="0" fontId="6" fillId="2" borderId="0" xfId="0" applyFont="1" applyFill="1" applyAlignment="1"/>
    <xf numFmtId="0" fontId="6" fillId="2" borderId="0" xfId="0" applyFont="1" applyFill="1" applyBorder="1" applyAlignment="1">
      <alignment horizontal="left"/>
    </xf>
    <xf numFmtId="3" fontId="8" fillId="2" borderId="2" xfId="25" applyNumberFormat="1" applyFont="1" applyFill="1" applyBorder="1" applyAlignment="1">
      <alignment horizontal="right"/>
    </xf>
    <xf numFmtId="3" fontId="5" fillId="2" borderId="0" xfId="25" quotePrefix="1" applyNumberFormat="1" applyFont="1" applyFill="1" applyBorder="1" applyAlignment="1">
      <alignment horizontal="right" vertical="center"/>
    </xf>
    <xf numFmtId="3" fontId="8" fillId="2" borderId="1" xfId="25" applyNumberFormat="1" applyFont="1" applyFill="1" applyBorder="1" applyAlignment="1">
      <alignment horizontal="right"/>
    </xf>
    <xf numFmtId="3" fontId="8" fillId="2" borderId="10" xfId="0" applyNumberFormat="1" applyFont="1" applyFill="1" applyBorder="1"/>
    <xf numFmtId="3" fontId="8" fillId="2" borderId="1" xfId="0" applyNumberFormat="1" applyFont="1" applyFill="1" applyBorder="1"/>
    <xf numFmtId="3" fontId="5" fillId="2" borderId="12" xfId="25" applyNumberFormat="1" applyFont="1" applyFill="1" applyBorder="1" applyAlignment="1">
      <alignment horizontal="right" vertical="center"/>
    </xf>
    <xf numFmtId="3" fontId="8" fillId="2" borderId="2" xfId="25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/>
    <xf numFmtId="3" fontId="8" fillId="2" borderId="3" xfId="0" applyNumberFormat="1" applyFont="1" applyFill="1" applyBorder="1"/>
    <xf numFmtId="3" fontId="8" fillId="2" borderId="9" xfId="0" applyNumberFormat="1" applyFont="1" applyFill="1" applyBorder="1"/>
    <xf numFmtId="3" fontId="8" fillId="2" borderId="2" xfId="0" applyNumberFormat="1" applyFont="1" applyFill="1" applyBorder="1"/>
    <xf numFmtId="3" fontId="8" fillId="2" borderId="6" xfId="0" applyNumberFormat="1" applyFont="1" applyFill="1" applyBorder="1"/>
    <xf numFmtId="3" fontId="8" fillId="2" borderId="4" xfId="0" applyNumberFormat="1" applyFont="1" applyFill="1" applyBorder="1"/>
    <xf numFmtId="0" fontId="3" fillId="2" borderId="0" xfId="0" applyFont="1" applyFill="1"/>
    <xf numFmtId="0" fontId="6" fillId="2" borderId="0" xfId="28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0" fillId="2" borderId="0" xfId="0" quotePrefix="1" applyNumberFormat="1" applyFill="1"/>
    <xf numFmtId="0" fontId="6" fillId="2" borderId="0" xfId="27" applyFont="1" applyFill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7" fillId="2" borderId="1" xfId="0" applyFont="1" applyFill="1" applyBorder="1" applyAlignment="1">
      <alignment horizontal="right" wrapText="1"/>
    </xf>
    <xf numFmtId="0" fontId="7" fillId="2" borderId="4" xfId="25" applyFont="1" applyFill="1" applyBorder="1" applyAlignment="1">
      <alignment horizontal="left" wrapText="1"/>
    </xf>
    <xf numFmtId="0" fontId="7" fillId="2" borderId="6" xfId="25" applyFont="1" applyFill="1" applyBorder="1" applyAlignment="1">
      <alignment horizontal="left" wrapText="1"/>
    </xf>
    <xf numFmtId="0" fontId="7" fillId="2" borderId="14" xfId="0" applyFont="1" applyFill="1" applyBorder="1"/>
    <xf numFmtId="0" fontId="7" fillId="2" borderId="10" xfId="0" applyFont="1" applyFill="1" applyBorder="1" applyAlignment="1">
      <alignment horizontal="right" wrapText="1"/>
    </xf>
    <xf numFmtId="0" fontId="7" fillId="2" borderId="13" xfId="0" applyFont="1" applyFill="1" applyBorder="1" applyAlignment="1">
      <alignment horizontal="right" wrapText="1"/>
    </xf>
    <xf numFmtId="0" fontId="7" fillId="2" borderId="5" xfId="0" applyFont="1" applyFill="1" applyBorder="1"/>
    <xf numFmtId="3" fontId="5" fillId="2" borderId="9" xfId="0" applyNumberFormat="1" applyFont="1" applyFill="1" applyBorder="1"/>
    <xf numFmtId="3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11" xfId="0" applyNumberFormat="1" applyFont="1" applyFill="1" applyBorder="1"/>
    <xf numFmtId="164" fontId="5" fillId="2" borderId="15" xfId="0" applyNumberFormat="1" applyFont="1" applyFill="1" applyBorder="1"/>
    <xf numFmtId="1" fontId="5" fillId="2" borderId="12" xfId="0" applyNumberFormat="1" applyFont="1" applyFill="1" applyBorder="1"/>
    <xf numFmtId="164" fontId="3" fillId="2" borderId="0" xfId="0" applyNumberFormat="1" applyFont="1" applyFill="1"/>
    <xf numFmtId="3" fontId="5" fillId="2" borderId="0" xfId="0" applyNumberFormat="1" applyFont="1" applyFill="1" applyBorder="1"/>
    <xf numFmtId="164" fontId="5" fillId="2" borderId="9" xfId="0" applyNumberFormat="1" applyFont="1" applyFill="1" applyBorder="1"/>
    <xf numFmtId="164" fontId="5" fillId="2" borderId="0" xfId="0" applyNumberFormat="1" applyFont="1" applyFill="1" applyBorder="1"/>
    <xf numFmtId="164" fontId="5" fillId="2" borderId="12" xfId="0" applyNumberFormat="1" applyFont="1" applyFill="1" applyBorder="1"/>
    <xf numFmtId="1" fontId="3" fillId="2" borderId="0" xfId="0" applyNumberFormat="1" applyFont="1" applyFill="1"/>
    <xf numFmtId="3" fontId="5" fillId="2" borderId="10" xfId="0" applyNumberFormat="1" applyFont="1" applyFill="1" applyBorder="1"/>
    <xf numFmtId="3" fontId="5" fillId="2" borderId="14" xfId="0" applyNumberFormat="1" applyFont="1" applyFill="1" applyBorder="1"/>
    <xf numFmtId="3" fontId="5" fillId="2" borderId="13" xfId="0" applyNumberFormat="1" applyFont="1" applyFill="1" applyBorder="1"/>
    <xf numFmtId="164" fontId="5" fillId="2" borderId="10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" fontId="5" fillId="2" borderId="5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4" fontId="5" fillId="2" borderId="7" xfId="0" applyNumberFormat="1" applyFont="1" applyFill="1" applyBorder="1"/>
    <xf numFmtId="0" fontId="7" fillId="2" borderId="0" xfId="25" applyFont="1" applyFill="1" applyBorder="1" applyAlignment="1">
      <alignment horizontal="left" wrapText="1"/>
    </xf>
    <xf numFmtId="0" fontId="7" fillId="2" borderId="1" xfId="0" applyFont="1" applyFill="1" applyBorder="1"/>
    <xf numFmtId="0" fontId="7" fillId="2" borderId="10" xfId="0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0" fontId="7" fillId="2" borderId="13" xfId="0" applyFont="1" applyFill="1" applyBorder="1"/>
    <xf numFmtId="3" fontId="5" fillId="2" borderId="3" xfId="0" applyNumberFormat="1" applyFont="1" applyFill="1" applyBorder="1"/>
    <xf numFmtId="0" fontId="5" fillId="2" borderId="10" xfId="20" applyFont="1" applyFill="1" applyBorder="1" applyAlignment="1">
      <alignment horizontal="left" vertical="center" wrapText="1"/>
    </xf>
    <xf numFmtId="3" fontId="5" fillId="2" borderId="13" xfId="20" applyNumberFormat="1" applyFont="1" applyFill="1" applyBorder="1" applyAlignment="1"/>
    <xf numFmtId="3" fontId="5" fillId="2" borderId="14" xfId="20" applyNumberFormat="1" applyFont="1" applyFill="1" applyBorder="1" applyAlignment="1"/>
    <xf numFmtId="165" fontId="5" fillId="2" borderId="1" xfId="1" applyNumberFormat="1" applyFont="1" applyFill="1" applyBorder="1" applyAlignment="1">
      <alignment horizontal="right" vertical="center"/>
    </xf>
    <xf numFmtId="3" fontId="5" fillId="2" borderId="15" xfId="25" applyNumberFormat="1" applyFont="1" applyFill="1" applyBorder="1" applyAlignment="1">
      <alignment horizontal="right" vertical="center" wrapText="1"/>
    </xf>
    <xf numFmtId="1" fontId="5" fillId="2" borderId="1" xfId="0" applyNumberFormat="1" applyFont="1" applyFill="1" applyBorder="1"/>
    <xf numFmtId="0" fontId="2" fillId="2" borderId="0" xfId="0" applyFont="1" applyFill="1"/>
    <xf numFmtId="165" fontId="3" fillId="2" borderId="0" xfId="1" applyNumberFormat="1" applyFont="1" applyFill="1" applyAlignment="1">
      <alignment horizontal="center"/>
    </xf>
    <xf numFmtId="3" fontId="5" fillId="0" borderId="9" xfId="20" applyNumberFormat="1" applyFont="1" applyFill="1" applyBorder="1" applyAlignment="1"/>
    <xf numFmtId="3" fontId="5" fillId="0" borderId="2" xfId="20" applyNumberFormat="1" applyFont="1" applyFill="1" applyBorder="1" applyAlignment="1"/>
    <xf numFmtId="0" fontId="5" fillId="2" borderId="12" xfId="25" applyFont="1" applyFill="1" applyBorder="1" applyAlignment="1">
      <alignment horizontal="left"/>
    </xf>
    <xf numFmtId="0" fontId="3" fillId="2" borderId="12" xfId="25" applyFont="1" applyFill="1" applyBorder="1" applyAlignment="1">
      <alignment horizontal="left"/>
    </xf>
    <xf numFmtId="0" fontId="5" fillId="2" borderId="1" xfId="20" applyFont="1" applyFill="1" applyBorder="1" applyAlignment="1">
      <alignment horizontal="left" vertical="center" wrapText="1"/>
    </xf>
    <xf numFmtId="3" fontId="5" fillId="2" borderId="9" xfId="25" applyNumberFormat="1" applyFont="1" applyFill="1" applyBorder="1" applyAlignment="1">
      <alignment vertical="center"/>
    </xf>
    <xf numFmtId="3" fontId="5" fillId="2" borderId="0" xfId="25" applyNumberFormat="1" applyFont="1" applyFill="1" applyBorder="1" applyAlignment="1">
      <alignment vertical="center" wrapText="1"/>
    </xf>
    <xf numFmtId="0" fontId="18" fillId="2" borderId="5" xfId="0" applyFont="1" applyFill="1" applyBorder="1"/>
    <xf numFmtId="0" fontId="18" fillId="2" borderId="4" xfId="0" applyFont="1" applyFill="1" applyBorder="1"/>
    <xf numFmtId="0" fontId="18" fillId="2" borderId="6" xfId="0" applyFont="1" applyFill="1" applyBorder="1"/>
    <xf numFmtId="0" fontId="19" fillId="2" borderId="15" xfId="0" applyFont="1" applyFill="1" applyBorder="1"/>
    <xf numFmtId="0" fontId="19" fillId="2" borderId="12" xfId="0" applyFont="1" applyFill="1" applyBorder="1"/>
    <xf numFmtId="0" fontId="19" fillId="2" borderId="2" xfId="0" applyFont="1" applyFill="1" applyBorder="1"/>
    <xf numFmtId="0" fontId="18" fillId="2" borderId="12" xfId="0" applyFont="1" applyFill="1" applyBorder="1"/>
    <xf numFmtId="0" fontId="18" fillId="2" borderId="2" xfId="0" applyFont="1" applyFill="1" applyBorder="1"/>
    <xf numFmtId="0" fontId="18" fillId="2" borderId="15" xfId="0" applyFont="1" applyFill="1" applyBorder="1"/>
    <xf numFmtId="0" fontId="18" fillId="2" borderId="3" xfId="0" applyFont="1" applyFill="1" applyBorder="1"/>
    <xf numFmtId="0" fontId="20" fillId="2" borderId="7" xfId="0" applyFont="1" applyFill="1" applyBorder="1"/>
    <xf numFmtId="0" fontId="20" fillId="2" borderId="4" xfId="0" applyFont="1" applyFill="1" applyBorder="1"/>
    <xf numFmtId="0" fontId="21" fillId="2" borderId="0" xfId="0" applyFont="1" applyFill="1" applyBorder="1"/>
    <xf numFmtId="0" fontId="21" fillId="2" borderId="2" xfId="0" applyFont="1" applyFill="1" applyBorder="1"/>
    <xf numFmtId="0" fontId="21" fillId="2" borderId="7" xfId="0" applyFont="1" applyFill="1" applyBorder="1"/>
    <xf numFmtId="0" fontId="21" fillId="2" borderId="3" xfId="0" applyFont="1" applyFill="1" applyBorder="1"/>
    <xf numFmtId="0" fontId="21" fillId="2" borderId="4" xfId="0" applyFont="1" applyFill="1" applyBorder="1"/>
    <xf numFmtId="0" fontId="21" fillId="2" borderId="2" xfId="0" quotePrefix="1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left"/>
    </xf>
    <xf numFmtId="0" fontId="23" fillId="2" borderId="0" xfId="0" applyFont="1" applyFill="1" applyBorder="1"/>
    <xf numFmtId="0" fontId="23" fillId="2" borderId="0" xfId="0" applyFont="1" applyFill="1"/>
    <xf numFmtId="1" fontId="23" fillId="2" borderId="0" xfId="25" applyNumberFormat="1" applyFont="1" applyFill="1" applyBorder="1" applyAlignment="1">
      <alignment horizontal="center"/>
    </xf>
    <xf numFmtId="0" fontId="19" fillId="37" borderId="0" xfId="0" applyFont="1" applyFill="1"/>
    <xf numFmtId="165" fontId="19" fillId="37" borderId="0" xfId="0" applyNumberFormat="1" applyFont="1" applyFill="1"/>
    <xf numFmtId="165" fontId="3" fillId="2" borderId="0" xfId="1" applyNumberFormat="1" applyFont="1" applyFill="1"/>
    <xf numFmtId="164" fontId="7" fillId="2" borderId="14" xfId="0" applyNumberFormat="1" applyFont="1" applyFill="1" applyBorder="1" applyAlignment="1">
      <alignment horizontal="right" wrapText="1"/>
    </xf>
    <xf numFmtId="164" fontId="5" fillId="2" borderId="6" xfId="0" applyNumberFormat="1" applyFont="1" applyFill="1" applyBorder="1"/>
    <xf numFmtId="164" fontId="5" fillId="2" borderId="5" xfId="0" applyNumberFormat="1" applyFont="1" applyFill="1" applyBorder="1"/>
    <xf numFmtId="170" fontId="5" fillId="2" borderId="15" xfId="25" applyNumberFormat="1" applyFont="1" applyFill="1" applyBorder="1" applyAlignment="1">
      <alignment horizontal="right" vertical="center" wrapText="1"/>
    </xf>
    <xf numFmtId="170" fontId="5" fillId="2" borderId="2" xfId="20" applyNumberFormat="1" applyFont="1" applyFill="1" applyBorder="1" applyAlignment="1">
      <alignment horizontal="right"/>
    </xf>
    <xf numFmtId="170" fontId="5" fillId="2" borderId="4" xfId="20" applyNumberFormat="1" applyFont="1" applyFill="1" applyBorder="1" applyAlignment="1">
      <alignment horizontal="right"/>
    </xf>
    <xf numFmtId="170" fontId="5" fillId="2" borderId="1" xfId="20" applyNumberFormat="1" applyFont="1" applyFill="1" applyBorder="1" applyAlignment="1">
      <alignment horizontal="right"/>
    </xf>
    <xf numFmtId="165" fontId="19" fillId="2" borderId="8" xfId="31" applyNumberFormat="1" applyFont="1" applyFill="1" applyBorder="1"/>
    <xf numFmtId="165" fontId="21" fillId="2" borderId="9" xfId="31" applyNumberFormat="1" applyFont="1" applyFill="1" applyBorder="1"/>
    <xf numFmtId="165" fontId="19" fillId="2" borderId="9" xfId="31" applyNumberFormat="1" applyFont="1" applyFill="1" applyBorder="1"/>
    <xf numFmtId="165" fontId="21" fillId="2" borderId="6" xfId="31" applyNumberFormat="1" applyFont="1" applyFill="1" applyBorder="1"/>
    <xf numFmtId="165" fontId="21" fillId="2" borderId="8" xfId="31" applyNumberFormat="1" applyFont="1" applyFill="1" applyBorder="1"/>
    <xf numFmtId="165" fontId="21" fillId="2" borderId="9" xfId="31" applyNumberFormat="1" applyFont="1" applyFill="1" applyBorder="1" applyAlignment="1">
      <alignment horizontal="center" vertical="center"/>
    </xf>
    <xf numFmtId="0" fontId="19" fillId="2" borderId="0" xfId="0" applyFont="1" applyFill="1"/>
    <xf numFmtId="165" fontId="18" fillId="2" borderId="6" xfId="31" applyNumberFormat="1" applyFont="1" applyFill="1" applyBorder="1"/>
    <xf numFmtId="165" fontId="18" fillId="2" borderId="9" xfId="31" applyNumberFormat="1" applyFont="1" applyFill="1" applyBorder="1"/>
    <xf numFmtId="165" fontId="18" fillId="2" borderId="8" xfId="31" applyNumberFormat="1" applyFont="1" applyFill="1" applyBorder="1"/>
    <xf numFmtId="165" fontId="19" fillId="2" borderId="0" xfId="31" applyNumberFormat="1" applyFont="1" applyFill="1"/>
    <xf numFmtId="0" fontId="17" fillId="3" borderId="16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horizontal="left" vertical="top"/>
    </xf>
    <xf numFmtId="169" fontId="17" fillId="3" borderId="16" xfId="0" applyNumberFormat="1" applyFont="1" applyFill="1" applyBorder="1" applyAlignment="1">
      <alignment horizontal="left" vertical="top"/>
    </xf>
    <xf numFmtId="167" fontId="22" fillId="5" borderId="17" xfId="0" applyNumberFormat="1" applyFont="1" applyFill="1" applyBorder="1" applyAlignment="1">
      <alignment horizontal="right"/>
    </xf>
    <xf numFmtId="168" fontId="17" fillId="3" borderId="16" xfId="0" applyNumberFormat="1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167" fontId="22" fillId="5" borderId="17" xfId="0" applyNumberFormat="1" applyFont="1" applyFill="1" applyBorder="1" applyAlignment="1">
      <alignment horizontal="right"/>
    </xf>
    <xf numFmtId="0" fontId="22" fillId="5" borderId="17" xfId="0" applyFont="1" applyFill="1" applyBorder="1" applyAlignment="1">
      <alignment horizontal="right"/>
    </xf>
    <xf numFmtId="168" fontId="17" fillId="3" borderId="16" xfId="0" applyNumberFormat="1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 wrapText="1"/>
    </xf>
    <xf numFmtId="169" fontId="17" fillId="3" borderId="16" xfId="0" applyNumberFormat="1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center" vertical="center"/>
    </xf>
  </cellXfs>
  <cellStyles count="76">
    <cellStyle name="1000-sep (2 dec) 10" xfId="2"/>
    <cellStyle name="1000-sep (2 dec) 12" xfId="3"/>
    <cellStyle name="1000-sep (2 dec) 14" xfId="4"/>
    <cellStyle name="1000-sep (2 dec) 16" xfId="5"/>
    <cellStyle name="1000-sep (2 dec) 2" xfId="6"/>
    <cellStyle name="1000-sep (2 dec) 3" xfId="7"/>
    <cellStyle name="1000-sep (2 dec) 4" xfId="8"/>
    <cellStyle name="1000-sep (2 dec) 5" xfId="9"/>
    <cellStyle name="1000-sep (2 dec) 6" xfId="10"/>
    <cellStyle name="1000-sep (2 dec) 7" xfId="11"/>
    <cellStyle name="1000-sep (2 dec) 8" xfId="12"/>
    <cellStyle name="20 % - Farve1" xfId="49" builtinId="30" customBuiltin="1"/>
    <cellStyle name="20 % - Farve2" xfId="53" builtinId="34" customBuiltin="1"/>
    <cellStyle name="20 % - Farve3" xfId="57" builtinId="38" customBuiltin="1"/>
    <cellStyle name="20 % - Farve4" xfId="61" builtinId="42" customBuiltin="1"/>
    <cellStyle name="20 % - Farve5" xfId="65" builtinId="46" customBuiltin="1"/>
    <cellStyle name="20 % - Farve6" xfId="69" builtinId="50" customBuiltin="1"/>
    <cellStyle name="40 % - Farve1" xfId="50" builtinId="31" customBuiltin="1"/>
    <cellStyle name="40 % - Farve2" xfId="54" builtinId="35" customBuiltin="1"/>
    <cellStyle name="40 % - Farve3" xfId="58" builtinId="39" customBuiltin="1"/>
    <cellStyle name="40 % - Farve4" xfId="62" builtinId="43" customBuiltin="1"/>
    <cellStyle name="40 % - Farve5" xfId="66" builtinId="47" customBuiltin="1"/>
    <cellStyle name="40 % - Farve6" xfId="70" builtinId="51" customBuiltin="1"/>
    <cellStyle name="60 % - Farve1" xfId="51" builtinId="32" customBuiltin="1"/>
    <cellStyle name="60 % - Farve2" xfId="55" builtinId="36" customBuiltin="1"/>
    <cellStyle name="60 % - Farve3" xfId="59" builtinId="40" customBuiltin="1"/>
    <cellStyle name="60 % - Farve4" xfId="63" builtinId="44" customBuiltin="1"/>
    <cellStyle name="60 % - Farve5" xfId="67" builtinId="48" customBuiltin="1"/>
    <cellStyle name="60 % - Farve6" xfId="71" builtinId="52" customBuiltin="1"/>
    <cellStyle name="Advarselstekst" xfId="45" builtinId="11" customBuiltin="1"/>
    <cellStyle name="Bemærk! 2" xfId="73"/>
    <cellStyle name="Beregning" xfId="42" builtinId="22" customBuiltin="1"/>
    <cellStyle name="Besøgt link" xfId="75" builtinId="9" customBuiltin="1"/>
    <cellStyle name="Farve1" xfId="48" builtinId="29" customBuiltin="1"/>
    <cellStyle name="Farve2" xfId="52" builtinId="33" customBuiltin="1"/>
    <cellStyle name="Farve3" xfId="56" builtinId="37" customBuiltin="1"/>
    <cellStyle name="Farve4" xfId="60" builtinId="41" customBuiltin="1"/>
    <cellStyle name="Farve5" xfId="64" builtinId="45" customBuiltin="1"/>
    <cellStyle name="Farve6" xfId="68" builtinId="49" customBuiltin="1"/>
    <cellStyle name="Forklarende tekst" xfId="46" builtinId="53" customBuiltin="1"/>
    <cellStyle name="God" xfId="37" builtinId="26" customBuiltin="1"/>
    <cellStyle name="Input" xfId="40" builtinId="20" customBuiltin="1"/>
    <cellStyle name="Komma" xfId="1" builtinId="3"/>
    <cellStyle name="Komma 2" xfId="13"/>
    <cellStyle name="Komma 3" xfId="31"/>
    <cellStyle name="Kontrollér celle" xfId="44" builtinId="23" customBuiltin="1"/>
    <cellStyle name="Link" xfId="74" builtinId="8" customBuiltin="1"/>
    <cellStyle name="Neutral" xfId="39" builtinId="28" customBuiltin="1"/>
    <cellStyle name="Normal" xfId="0" builtinId="0"/>
    <cellStyle name="Normal 10" xfId="14"/>
    <cellStyle name="Normal 12" xfId="15"/>
    <cellStyle name="Normal 2" xfId="16"/>
    <cellStyle name="Normal 2 3" xfId="17"/>
    <cellStyle name="Normal 22" xfId="18"/>
    <cellStyle name="Normal 26" xfId="19"/>
    <cellStyle name="Normal 3" xfId="20"/>
    <cellStyle name="Normal 4" xfId="21"/>
    <cellStyle name="Normal 5" xfId="30"/>
    <cellStyle name="Normal 6" xfId="72"/>
    <cellStyle name="Normal 7" xfId="22"/>
    <cellStyle name="Normal 8" xfId="23"/>
    <cellStyle name="Normal 9" xfId="24"/>
    <cellStyle name="Normal_2008-29-05_DTD" xfId="25"/>
    <cellStyle name="Normal_2009 2009-priser med korr." xfId="26"/>
    <cellStyle name="Normal_pv05_23-05-07" xfId="27"/>
    <cellStyle name="Normal_pv06_23-05-07" xfId="28"/>
    <cellStyle name="Output" xfId="41" builtinId="21" customBuiltin="1"/>
    <cellStyle name="Overskrift 1" xfId="33" builtinId="16" customBuiltin="1"/>
    <cellStyle name="Overskrift 2" xfId="34" builtinId="17" customBuiltin="1"/>
    <cellStyle name="Overskrift 3" xfId="35" builtinId="18" customBuiltin="1"/>
    <cellStyle name="Overskrift 4" xfId="36" builtinId="19" customBuiltin="1"/>
    <cellStyle name="Procent" xfId="29" builtinId="5"/>
    <cellStyle name="Sammenkædet celle" xfId="43" builtinId="24" customBuiltin="1"/>
    <cellStyle name="Titel" xfId="32" builtinId="15" customBuiltin="1"/>
    <cellStyle name="Total" xfId="47" builtinId="25" customBuiltin="1"/>
    <cellStyle name="Ugyldig" xfId="3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67"/>
  <sheetViews>
    <sheetView workbookViewId="0">
      <selection activeCell="H4" sqref="H4"/>
    </sheetView>
  </sheetViews>
  <sheetFormatPr defaultColWidth="9.140625" defaultRowHeight="12.75" x14ac:dyDescent="0.2"/>
  <cols>
    <col min="1" max="1" width="8.5703125" style="65" customWidth="1"/>
    <col min="2" max="2" width="39.28515625" style="51" customWidth="1"/>
    <col min="3" max="9" width="10" style="51" customWidth="1"/>
    <col min="10" max="10" width="19.28515625" style="51" customWidth="1"/>
    <col min="11" max="11" width="9.85546875" style="51" bestFit="1" customWidth="1"/>
    <col min="12" max="12" width="12.85546875" style="51" bestFit="1" customWidth="1"/>
    <col min="13" max="13" width="13.28515625" style="51" customWidth="1"/>
    <col min="14" max="14" width="9.140625" style="51"/>
    <col min="15" max="15" width="10.85546875" style="51" customWidth="1"/>
    <col min="16" max="248" width="9.140625" style="51"/>
    <col min="249" max="249" width="8.85546875" style="51" customWidth="1"/>
    <col min="250" max="250" width="38.85546875" style="51" bestFit="1" customWidth="1"/>
    <col min="251" max="254" width="10" style="51" customWidth="1"/>
    <col min="255" max="16384" width="9.140625" style="52"/>
  </cols>
  <sheetData>
    <row r="1" spans="1:255" ht="15.75" x14ac:dyDescent="0.25">
      <c r="A1" s="50" t="str">
        <f>+'Skema1-7_2015'!A1</f>
        <v>Endelig version 31. januar 2018</v>
      </c>
      <c r="B1" s="24"/>
      <c r="C1" s="26"/>
      <c r="D1" s="26"/>
      <c r="E1" s="26"/>
      <c r="F1" s="26"/>
      <c r="G1" s="26"/>
      <c r="H1" s="26"/>
      <c r="I1" s="26"/>
      <c r="J1" s="26"/>
      <c r="K1" s="24"/>
    </row>
    <row r="2" spans="1:255" x14ac:dyDescent="0.2">
      <c r="A2" s="33" t="s">
        <v>122</v>
      </c>
      <c r="B2" s="24"/>
      <c r="C2" s="26"/>
      <c r="D2" s="26"/>
      <c r="E2" s="27"/>
      <c r="F2" s="27"/>
      <c r="G2" s="27"/>
      <c r="H2" s="28"/>
      <c r="I2" s="53"/>
      <c r="J2" s="28"/>
      <c r="K2" s="24"/>
    </row>
    <row r="3" spans="1:255" x14ac:dyDescent="0.2">
      <c r="A3" s="33" t="s">
        <v>49</v>
      </c>
      <c r="B3" s="24"/>
      <c r="C3" s="26"/>
      <c r="D3" s="26"/>
      <c r="E3" s="27"/>
      <c r="F3" s="27"/>
      <c r="G3" s="27"/>
      <c r="H3" s="28"/>
      <c r="I3" s="27"/>
      <c r="J3" s="28"/>
      <c r="L3" s="45"/>
      <c r="M3" s="45"/>
      <c r="N3" s="45"/>
      <c r="O3" s="28"/>
      <c r="P3" s="28"/>
      <c r="Q3" s="28"/>
      <c r="R3" s="39"/>
      <c r="S3" s="39"/>
      <c r="IU3" s="51"/>
    </row>
    <row r="4" spans="1:255" ht="56.25" x14ac:dyDescent="0.2">
      <c r="A4" s="11" t="s">
        <v>6</v>
      </c>
      <c r="B4" s="11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71" t="s">
        <v>15</v>
      </c>
      <c r="L4" s="45"/>
      <c r="M4" s="45"/>
      <c r="N4" s="45"/>
      <c r="O4" s="40"/>
      <c r="P4" s="40"/>
      <c r="Q4" s="54"/>
      <c r="R4" s="40"/>
      <c r="S4" s="40"/>
      <c r="IU4" s="51"/>
    </row>
    <row r="5" spans="1:255" ht="12.75" customHeight="1" x14ac:dyDescent="0.2">
      <c r="A5" s="4">
        <v>1301</v>
      </c>
      <c r="B5" s="4" t="s">
        <v>1</v>
      </c>
      <c r="C5" s="5">
        <v>6088695.403930001</v>
      </c>
      <c r="D5" s="5">
        <v>59835.424561851949</v>
      </c>
      <c r="E5" s="5">
        <v>750864.81861773611</v>
      </c>
      <c r="F5" s="5">
        <v>0</v>
      </c>
      <c r="G5" s="5">
        <v>81294.924830000004</v>
      </c>
      <c r="H5" s="5">
        <v>-1966996.2357458821</v>
      </c>
      <c r="I5" s="5">
        <v>14927.40087292355</v>
      </c>
      <c r="J5" s="6">
        <f>+SUM(C5:E5)-SUM(F5:I5)</f>
        <v>8770169.5571525469</v>
      </c>
      <c r="K5" s="3"/>
      <c r="L5" s="45"/>
      <c r="M5" s="45"/>
      <c r="N5" s="45"/>
      <c r="O5" s="41"/>
      <c r="P5" s="41"/>
      <c r="Q5" s="41"/>
      <c r="R5" s="41"/>
      <c r="S5" s="55"/>
      <c r="IU5" s="51"/>
    </row>
    <row r="6" spans="1:255" x14ac:dyDescent="0.2">
      <c r="A6" s="7">
        <v>1309</v>
      </c>
      <c r="B6" s="7" t="s">
        <v>105</v>
      </c>
      <c r="C6" s="5">
        <v>2359019.9190699998</v>
      </c>
      <c r="D6" s="5">
        <v>15772.197667209566</v>
      </c>
      <c r="E6" s="5">
        <v>227743.51817333908</v>
      </c>
      <c r="F6" s="5">
        <v>0</v>
      </c>
      <c r="G6" s="5">
        <v>2748.1939899999998</v>
      </c>
      <c r="H6" s="5">
        <v>-43130.637843410383</v>
      </c>
      <c r="I6" s="5">
        <v>-25561.493889239544</v>
      </c>
      <c r="J6" s="8">
        <f t="shared" ref="J6:J27" si="0">+SUM(C6:E6)-SUM(F6:I6)</f>
        <v>2668479.5726531981</v>
      </c>
      <c r="K6" s="3"/>
      <c r="L6" s="45"/>
      <c r="M6" s="45"/>
      <c r="N6" s="45"/>
      <c r="O6" s="42"/>
      <c r="P6" s="42"/>
      <c r="Q6" s="41"/>
      <c r="R6" s="41"/>
      <c r="S6" s="55"/>
      <c r="IU6" s="51"/>
    </row>
    <row r="7" spans="1:255" x14ac:dyDescent="0.2">
      <c r="A7" s="7">
        <v>1330</v>
      </c>
      <c r="B7" s="7" t="s">
        <v>106</v>
      </c>
      <c r="C7" s="5">
        <v>2709392.1628699997</v>
      </c>
      <c r="D7" s="5">
        <v>18066.655338847315</v>
      </c>
      <c r="E7" s="5">
        <v>263304.73191593681</v>
      </c>
      <c r="F7" s="5">
        <v>0</v>
      </c>
      <c r="G7" s="5">
        <v>6759.4602499999992</v>
      </c>
      <c r="H7" s="5">
        <v>-59816.195556263301</v>
      </c>
      <c r="I7" s="5">
        <v>7337.1075881137385</v>
      </c>
      <c r="J7" s="8">
        <f>+SUM(C7:E7)-SUM(F7:I7)</f>
        <v>3036483.1778429337</v>
      </c>
      <c r="K7" s="3"/>
      <c r="L7" s="45"/>
      <c r="M7" s="45"/>
      <c r="N7" s="45"/>
      <c r="O7" s="42"/>
      <c r="P7" s="42"/>
      <c r="Q7" s="41"/>
      <c r="R7" s="56"/>
      <c r="S7" s="55"/>
      <c r="IU7" s="51"/>
    </row>
    <row r="8" spans="1:255" x14ac:dyDescent="0.2">
      <c r="A8" s="7">
        <v>1516</v>
      </c>
      <c r="B8" s="7" t="s">
        <v>121</v>
      </c>
      <c r="C8" s="5">
        <v>4303537.9490999999</v>
      </c>
      <c r="D8" s="5">
        <v>31636.41608309951</v>
      </c>
      <c r="E8" s="5">
        <v>421245.92255759257</v>
      </c>
      <c r="F8" s="5">
        <v>0</v>
      </c>
      <c r="G8" s="5">
        <v>20970.192109999996</v>
      </c>
      <c r="H8" s="5">
        <v>-180906.58219861038</v>
      </c>
      <c r="I8" s="5">
        <v>28615.54657351147</v>
      </c>
      <c r="J8" s="8">
        <f>+SUM(C8:E8)-SUM(F8:I8)</f>
        <v>4887741.1312557906</v>
      </c>
      <c r="K8" s="3"/>
      <c r="L8" s="45"/>
      <c r="M8" s="45"/>
      <c r="N8" s="45"/>
      <c r="O8" s="42"/>
      <c r="P8" s="42"/>
      <c r="Q8" s="41"/>
      <c r="R8" s="56"/>
      <c r="S8" s="55"/>
      <c r="IU8" s="51"/>
    </row>
    <row r="9" spans="1:255" x14ac:dyDescent="0.2">
      <c r="A9" s="7">
        <v>2000</v>
      </c>
      <c r="B9" s="7" t="s">
        <v>2</v>
      </c>
      <c r="C9" s="5">
        <v>2300303.9148800001</v>
      </c>
      <c r="D9" s="5">
        <v>14765.758082374581</v>
      </c>
      <c r="E9" s="5">
        <v>215390.2082767963</v>
      </c>
      <c r="F9" s="5">
        <v>0</v>
      </c>
      <c r="G9" s="5">
        <v>10791.524424000001</v>
      </c>
      <c r="H9" s="5">
        <v>81684.2184774169</v>
      </c>
      <c r="I9" s="5">
        <v>-17173.804033419488</v>
      </c>
      <c r="J9" s="8">
        <f t="shared" si="0"/>
        <v>2455157.9423711733</v>
      </c>
      <c r="K9" s="3"/>
      <c r="L9" s="45"/>
      <c r="M9" s="45"/>
      <c r="N9" s="45"/>
      <c r="O9" s="42"/>
      <c r="P9" s="42"/>
      <c r="Q9" s="41"/>
      <c r="R9" s="56"/>
      <c r="S9" s="55"/>
      <c r="IU9" s="51"/>
    </row>
    <row r="10" spans="1:255" x14ac:dyDescent="0.2">
      <c r="A10" s="7">
        <v>4001</v>
      </c>
      <c r="B10" s="7" t="s">
        <v>3</v>
      </c>
      <c r="C10" s="5">
        <v>397592.55919</v>
      </c>
      <c r="D10" s="5">
        <v>2561.9503441764468</v>
      </c>
      <c r="E10" s="5">
        <v>37040.333149353442</v>
      </c>
      <c r="F10" s="5">
        <v>0</v>
      </c>
      <c r="G10" s="5">
        <v>1016.6615</v>
      </c>
      <c r="H10" s="5">
        <v>30051.327575701001</v>
      </c>
      <c r="I10" s="5">
        <v>6640.5023578332366</v>
      </c>
      <c r="J10" s="8">
        <f t="shared" si="0"/>
        <v>399486.35124999564</v>
      </c>
      <c r="K10" s="3"/>
      <c r="L10" s="45"/>
      <c r="M10" s="45"/>
      <c r="N10" s="45"/>
      <c r="O10" s="42"/>
      <c r="P10" s="42"/>
      <c r="Q10" s="41"/>
      <c r="R10" s="41"/>
      <c r="S10" s="55"/>
      <c r="IU10" s="51"/>
    </row>
    <row r="11" spans="1:255" x14ac:dyDescent="0.2">
      <c r="A11" s="7">
        <v>3810</v>
      </c>
      <c r="B11" s="7" t="s">
        <v>184</v>
      </c>
      <c r="C11" s="5">
        <v>2938997</v>
      </c>
      <c r="D11" s="5">
        <v>261313.12299999996</v>
      </c>
      <c r="E11" s="5">
        <v>137313.33499999999</v>
      </c>
      <c r="F11" s="5">
        <v>0</v>
      </c>
      <c r="G11" s="5">
        <v>16525</v>
      </c>
      <c r="H11" s="5">
        <v>92388.999999899999</v>
      </c>
      <c r="I11" s="5">
        <v>22948</v>
      </c>
      <c r="J11" s="8">
        <f t="shared" si="0"/>
        <v>3205761.4580001002</v>
      </c>
      <c r="K11" s="3"/>
      <c r="L11" s="45"/>
      <c r="M11" s="45"/>
      <c r="N11" s="45"/>
      <c r="O11" s="42"/>
      <c r="P11" s="42"/>
      <c r="Q11" s="41"/>
      <c r="R11" s="41"/>
      <c r="S11" s="55"/>
      <c r="IU11" s="51"/>
    </row>
    <row r="12" spans="1:255" x14ac:dyDescent="0.2">
      <c r="A12" s="7">
        <v>3820</v>
      </c>
      <c r="B12" s="7" t="s">
        <v>93</v>
      </c>
      <c r="C12" s="5">
        <v>993243.79840999993</v>
      </c>
      <c r="D12" s="5">
        <v>106584.20800000004</v>
      </c>
      <c r="E12" s="5">
        <v>51912.692000000003</v>
      </c>
      <c r="F12" s="5">
        <v>4751.4787213064901</v>
      </c>
      <c r="G12" s="5">
        <v>9692.7525013991235</v>
      </c>
      <c r="H12" s="5">
        <v>29571.859880019834</v>
      </c>
      <c r="I12" s="5">
        <v>-27860.80927043721</v>
      </c>
      <c r="J12" s="8">
        <f t="shared" si="0"/>
        <v>1135585.4165777117</v>
      </c>
      <c r="K12" s="3"/>
      <c r="L12" s="45"/>
      <c r="M12" s="45"/>
      <c r="N12" s="45"/>
      <c r="O12" s="42"/>
      <c r="P12" s="42"/>
      <c r="Q12" s="41"/>
      <c r="R12" s="41"/>
      <c r="S12" s="55"/>
      <c r="IU12" s="51"/>
    </row>
    <row r="13" spans="1:255" x14ac:dyDescent="0.2">
      <c r="A13" s="7">
        <v>3830</v>
      </c>
      <c r="B13" s="7" t="s">
        <v>98</v>
      </c>
      <c r="C13" s="5">
        <v>2332006</v>
      </c>
      <c r="D13" s="5">
        <v>250076.71499999997</v>
      </c>
      <c r="E13" s="5">
        <v>112073.712</v>
      </c>
      <c r="F13" s="5">
        <v>992</v>
      </c>
      <c r="G13" s="5">
        <v>20572</v>
      </c>
      <c r="H13" s="5">
        <v>110730</v>
      </c>
      <c r="I13" s="5">
        <v>58118</v>
      </c>
      <c r="J13" s="8">
        <f t="shared" si="0"/>
        <v>2503744.4269999997</v>
      </c>
      <c r="K13" s="3"/>
      <c r="L13" s="45"/>
      <c r="M13" s="45"/>
      <c r="N13" s="45"/>
      <c r="O13" s="42"/>
      <c r="P13" s="42"/>
      <c r="Q13" s="41"/>
      <c r="R13" s="41"/>
      <c r="S13" s="39"/>
      <c r="U13" s="51" t="s">
        <v>48</v>
      </c>
      <c r="IU13" s="51"/>
    </row>
    <row r="14" spans="1:255" x14ac:dyDescent="0.2">
      <c r="A14" s="7">
        <v>3840</v>
      </c>
      <c r="B14" s="7" t="s">
        <v>99</v>
      </c>
      <c r="C14" s="5">
        <v>708682.90732000011</v>
      </c>
      <c r="D14" s="5">
        <v>90299.705000000016</v>
      </c>
      <c r="E14" s="5">
        <v>37008.067999999999</v>
      </c>
      <c r="F14" s="5">
        <v>0</v>
      </c>
      <c r="G14" s="5">
        <v>4060.6704497999999</v>
      </c>
      <c r="H14" s="5">
        <v>20595.890967516279</v>
      </c>
      <c r="I14" s="5">
        <v>-52826.288</v>
      </c>
      <c r="J14" s="8">
        <f t="shared" si="0"/>
        <v>864160.40690268378</v>
      </c>
      <c r="K14" s="3"/>
      <c r="L14" s="45"/>
      <c r="M14" s="45"/>
      <c r="N14" s="45"/>
      <c r="O14" s="42"/>
      <c r="P14" s="42"/>
      <c r="Q14" s="41"/>
      <c r="R14" s="41"/>
      <c r="S14" s="39"/>
      <c r="IU14" s="51"/>
    </row>
    <row r="15" spans="1:255" x14ac:dyDescent="0.2">
      <c r="A15" s="7">
        <v>4202</v>
      </c>
      <c r="B15" s="7" t="s">
        <v>4</v>
      </c>
      <c r="C15" s="5">
        <v>6473336</v>
      </c>
      <c r="D15" s="5">
        <v>226355</v>
      </c>
      <c r="E15" s="5">
        <v>136363</v>
      </c>
      <c r="F15" s="5">
        <v>8073</v>
      </c>
      <c r="G15" s="5">
        <v>15023</v>
      </c>
      <c r="H15" s="5">
        <v>188907</v>
      </c>
      <c r="I15" s="5">
        <v>-2017</v>
      </c>
      <c r="J15" s="8">
        <f t="shared" si="0"/>
        <v>6626068</v>
      </c>
      <c r="K15" s="3"/>
      <c r="L15" s="45"/>
      <c r="M15" s="45"/>
      <c r="N15" s="45"/>
      <c r="O15" s="43"/>
      <c r="P15" s="43"/>
      <c r="Q15" s="43"/>
      <c r="R15" s="41"/>
      <c r="S15" s="39"/>
      <c r="IU15" s="51"/>
    </row>
    <row r="16" spans="1:255" x14ac:dyDescent="0.2">
      <c r="A16" s="7">
        <v>5000</v>
      </c>
      <c r="B16" s="7" t="s">
        <v>34</v>
      </c>
      <c r="C16" s="5">
        <v>1739140</v>
      </c>
      <c r="D16" s="5">
        <v>58405</v>
      </c>
      <c r="E16" s="5">
        <v>35185</v>
      </c>
      <c r="F16" s="5">
        <v>2249</v>
      </c>
      <c r="G16" s="5">
        <v>7071</v>
      </c>
      <c r="H16" s="5">
        <v>103523</v>
      </c>
      <c r="I16" s="5">
        <v>2267</v>
      </c>
      <c r="J16" s="8">
        <f t="shared" si="0"/>
        <v>1717620</v>
      </c>
      <c r="K16" s="3"/>
      <c r="L16" s="45"/>
      <c r="M16" s="45"/>
      <c r="N16" s="45"/>
      <c r="O16" s="43"/>
      <c r="P16" s="43"/>
      <c r="Q16" s="43"/>
      <c r="R16" s="57"/>
      <c r="S16" s="39"/>
      <c r="IU16" s="51"/>
    </row>
    <row r="17" spans="1:255" x14ac:dyDescent="0.2">
      <c r="A17" s="7">
        <v>5501</v>
      </c>
      <c r="B17" s="7" t="s">
        <v>5</v>
      </c>
      <c r="C17" s="5">
        <v>1727783</v>
      </c>
      <c r="D17" s="5">
        <v>57822</v>
      </c>
      <c r="E17" s="5">
        <v>34834</v>
      </c>
      <c r="F17" s="5">
        <v>2544</v>
      </c>
      <c r="G17" s="5">
        <v>3737</v>
      </c>
      <c r="H17" s="5">
        <v>63701</v>
      </c>
      <c r="I17" s="5">
        <v>206</v>
      </c>
      <c r="J17" s="8">
        <f t="shared" si="0"/>
        <v>1750251</v>
      </c>
      <c r="K17" s="3"/>
      <c r="L17" s="45"/>
      <c r="M17" s="45"/>
      <c r="N17" s="45"/>
      <c r="O17" s="43"/>
      <c r="P17" s="43"/>
      <c r="Q17" s="43"/>
      <c r="R17" s="57"/>
      <c r="S17" s="39"/>
      <c r="IU17" s="51"/>
    </row>
    <row r="18" spans="1:255" x14ac:dyDescent="0.2">
      <c r="A18" s="7">
        <v>6007</v>
      </c>
      <c r="B18" s="7" t="s">
        <v>95</v>
      </c>
      <c r="C18" s="5">
        <v>1415175</v>
      </c>
      <c r="D18" s="5">
        <v>47838</v>
      </c>
      <c r="E18" s="5">
        <v>28819</v>
      </c>
      <c r="F18" s="5">
        <v>15535</v>
      </c>
      <c r="G18" s="5">
        <v>1062</v>
      </c>
      <c r="H18" s="5">
        <v>45239</v>
      </c>
      <c r="I18" s="5">
        <v>-15702</v>
      </c>
      <c r="J18" s="8">
        <f t="shared" si="0"/>
        <v>1445698</v>
      </c>
      <c r="K18" s="3"/>
      <c r="L18" s="45"/>
      <c r="M18" s="45"/>
      <c r="N18" s="45"/>
      <c r="O18" s="43"/>
      <c r="P18" s="43"/>
      <c r="Q18" s="43"/>
      <c r="R18" s="57"/>
      <c r="S18" s="39"/>
      <c r="IU18" s="51"/>
    </row>
    <row r="19" spans="1:255" x14ac:dyDescent="0.2">
      <c r="A19" s="7">
        <v>6008</v>
      </c>
      <c r="B19" s="7" t="s">
        <v>103</v>
      </c>
      <c r="C19" s="5">
        <v>1722572</v>
      </c>
      <c r="D19" s="5">
        <v>58469</v>
      </c>
      <c r="E19" s="5">
        <v>35223</v>
      </c>
      <c r="F19" s="5">
        <v>9287</v>
      </c>
      <c r="G19" s="5">
        <v>5263</v>
      </c>
      <c r="H19" s="5">
        <v>51342</v>
      </c>
      <c r="I19" s="5">
        <v>15247</v>
      </c>
      <c r="J19" s="8">
        <f t="shared" si="0"/>
        <v>1735125</v>
      </c>
      <c r="K19" s="3"/>
      <c r="L19" s="45"/>
      <c r="M19" s="45"/>
      <c r="N19" s="45"/>
      <c r="O19" s="43"/>
      <c r="P19" s="43"/>
      <c r="Q19" s="43"/>
      <c r="R19" s="41"/>
      <c r="S19" s="39"/>
      <c r="IU19" s="51"/>
    </row>
    <row r="20" spans="1:255" x14ac:dyDescent="0.2">
      <c r="A20" s="7">
        <v>6013</v>
      </c>
      <c r="B20" s="7" t="s">
        <v>94</v>
      </c>
      <c r="C20" s="5">
        <v>75957</v>
      </c>
      <c r="D20" s="5">
        <v>3174</v>
      </c>
      <c r="E20" s="5">
        <v>1912</v>
      </c>
      <c r="F20" s="5">
        <v>0</v>
      </c>
      <c r="G20" s="5">
        <v>0</v>
      </c>
      <c r="H20" s="5">
        <v>1954</v>
      </c>
      <c r="I20" s="5">
        <v>-1</v>
      </c>
      <c r="J20" s="8">
        <f t="shared" si="0"/>
        <v>79090</v>
      </c>
      <c r="K20" s="3"/>
      <c r="L20" s="45"/>
      <c r="M20" s="45"/>
      <c r="N20" s="45"/>
      <c r="O20" s="43"/>
      <c r="P20" s="43"/>
      <c r="Q20" s="43"/>
      <c r="R20" s="41"/>
      <c r="S20" s="39"/>
      <c r="IU20" s="51"/>
    </row>
    <row r="21" spans="1:255" x14ac:dyDescent="0.2">
      <c r="A21" s="7">
        <v>6006</v>
      </c>
      <c r="B21" s="7" t="s">
        <v>100</v>
      </c>
      <c r="C21" s="5">
        <v>946854</v>
      </c>
      <c r="D21" s="5">
        <v>36875</v>
      </c>
      <c r="E21" s="5">
        <v>20269</v>
      </c>
      <c r="F21" s="5">
        <v>903</v>
      </c>
      <c r="G21" s="5">
        <v>134</v>
      </c>
      <c r="H21" s="5">
        <v>44677</v>
      </c>
      <c r="I21" s="5">
        <v>-23184</v>
      </c>
      <c r="J21" s="8">
        <f t="shared" si="0"/>
        <v>981468</v>
      </c>
      <c r="K21" s="3"/>
      <c r="L21" s="45"/>
      <c r="M21" s="45"/>
      <c r="N21" s="45"/>
      <c r="O21" s="45"/>
      <c r="P21" s="45"/>
      <c r="Q21" s="43"/>
      <c r="R21" s="58"/>
      <c r="S21" s="39"/>
      <c r="IU21" s="51"/>
    </row>
    <row r="22" spans="1:255" x14ac:dyDescent="0.2">
      <c r="A22" s="7">
        <v>6650</v>
      </c>
      <c r="B22" s="7" t="s">
        <v>50</v>
      </c>
      <c r="C22" s="5">
        <v>2216116</v>
      </c>
      <c r="D22" s="5">
        <v>85681</v>
      </c>
      <c r="E22" s="5">
        <v>48066</v>
      </c>
      <c r="F22" s="5">
        <v>0</v>
      </c>
      <c r="G22" s="5">
        <v>12032</v>
      </c>
      <c r="H22" s="5">
        <v>120999</v>
      </c>
      <c r="I22" s="5">
        <v>-14647</v>
      </c>
      <c r="J22" s="8">
        <f t="shared" si="0"/>
        <v>2231479</v>
      </c>
      <c r="K22" s="3"/>
      <c r="L22" s="45"/>
      <c r="M22" s="45"/>
      <c r="N22" s="45"/>
      <c r="O22" s="45"/>
      <c r="P22" s="45"/>
      <c r="Q22" s="43"/>
      <c r="R22" s="59"/>
      <c r="S22" s="39"/>
      <c r="IU22" s="51"/>
    </row>
    <row r="23" spans="1:255" x14ac:dyDescent="0.2">
      <c r="A23" s="7">
        <v>6620</v>
      </c>
      <c r="B23" s="7" t="s">
        <v>107</v>
      </c>
      <c r="C23" s="5">
        <v>6248220</v>
      </c>
      <c r="D23" s="5">
        <v>330033</v>
      </c>
      <c r="E23" s="5">
        <v>148637</v>
      </c>
      <c r="F23" s="5">
        <v>0</v>
      </c>
      <c r="G23" s="5">
        <v>24754</v>
      </c>
      <c r="H23" s="5">
        <v>-408615</v>
      </c>
      <c r="I23" s="5">
        <v>52772</v>
      </c>
      <c r="J23" s="8">
        <f t="shared" si="0"/>
        <v>7057979</v>
      </c>
      <c r="K23" s="3"/>
      <c r="L23" s="45"/>
      <c r="M23" s="45"/>
      <c r="N23" s="45"/>
      <c r="O23" s="45"/>
      <c r="P23" s="45"/>
      <c r="Q23" s="43"/>
      <c r="R23" s="59"/>
      <c r="S23" s="39"/>
      <c r="IU23" s="51"/>
    </row>
    <row r="24" spans="1:255" x14ac:dyDescent="0.2">
      <c r="A24" s="7">
        <v>7005</v>
      </c>
      <c r="B24" s="7" t="s">
        <v>51</v>
      </c>
      <c r="C24" s="5">
        <v>1080294</v>
      </c>
      <c r="D24" s="5">
        <v>41008</v>
      </c>
      <c r="E24" s="5">
        <v>23005</v>
      </c>
      <c r="F24" s="5">
        <v>6102</v>
      </c>
      <c r="G24" s="5">
        <v>336</v>
      </c>
      <c r="H24" s="5">
        <v>53405</v>
      </c>
      <c r="I24" s="5">
        <v>-13869</v>
      </c>
      <c r="J24" s="8">
        <f t="shared" si="0"/>
        <v>1098333</v>
      </c>
      <c r="K24" s="3"/>
      <c r="L24" s="45"/>
      <c r="M24" s="45"/>
      <c r="N24" s="45"/>
      <c r="O24" s="45"/>
      <c r="P24" s="45"/>
      <c r="Q24" s="43"/>
      <c r="R24" s="59"/>
      <c r="S24" s="39"/>
      <c r="IU24" s="51"/>
    </row>
    <row r="25" spans="1:255" x14ac:dyDescent="0.2">
      <c r="A25" s="7">
        <v>6630</v>
      </c>
      <c r="B25" s="7" t="s">
        <v>90</v>
      </c>
      <c r="C25" s="5">
        <v>2371173</v>
      </c>
      <c r="D25" s="5">
        <v>98177</v>
      </c>
      <c r="E25" s="5">
        <v>54780</v>
      </c>
      <c r="F25" s="5">
        <v>0</v>
      </c>
      <c r="G25" s="5">
        <v>4231</v>
      </c>
      <c r="H25" s="5">
        <v>-32673</v>
      </c>
      <c r="I25" s="5">
        <v>-5089</v>
      </c>
      <c r="J25" s="8">
        <f t="shared" si="0"/>
        <v>2557661</v>
      </c>
      <c r="K25" s="3"/>
      <c r="L25" s="45"/>
      <c r="M25" s="45"/>
      <c r="N25" s="45"/>
      <c r="O25" s="45"/>
      <c r="P25" s="45"/>
      <c r="Q25" s="43"/>
      <c r="R25" s="59"/>
      <c r="S25" s="39"/>
      <c r="IU25" s="51"/>
    </row>
    <row r="26" spans="1:255" x14ac:dyDescent="0.2">
      <c r="A26" s="7">
        <v>8001</v>
      </c>
      <c r="B26" s="7" t="s">
        <v>96</v>
      </c>
      <c r="C26" s="5">
        <v>4961573.6022000005</v>
      </c>
      <c r="D26" s="5">
        <v>202288.11319542269</v>
      </c>
      <c r="E26" s="5">
        <v>98563.606720243435</v>
      </c>
      <c r="F26" s="5">
        <v>2561.6419999999998</v>
      </c>
      <c r="G26" s="5">
        <v>74290.36891149047</v>
      </c>
      <c r="H26" s="5">
        <v>881930.90818999999</v>
      </c>
      <c r="I26" s="5">
        <v>-102952.856</v>
      </c>
      <c r="J26" s="8">
        <f t="shared" si="0"/>
        <v>4406595.2590141771</v>
      </c>
      <c r="K26" s="3"/>
      <c r="L26" s="45"/>
      <c r="M26" s="45"/>
      <c r="N26" s="45"/>
      <c r="O26" s="45"/>
      <c r="P26" s="45"/>
      <c r="Q26" s="43"/>
      <c r="R26" s="59"/>
      <c r="S26" s="39"/>
      <c r="IU26" s="51"/>
    </row>
    <row r="27" spans="1:255" x14ac:dyDescent="0.2">
      <c r="A27" s="7">
        <v>8003</v>
      </c>
      <c r="B27" s="7" t="s">
        <v>170</v>
      </c>
      <c r="C27" s="5">
        <v>1519912.2182600002</v>
      </c>
      <c r="D27" s="5">
        <v>86714.747878413735</v>
      </c>
      <c r="E27" s="5">
        <v>44488.57253605187</v>
      </c>
      <c r="F27" s="5">
        <v>3736.9919999999997</v>
      </c>
      <c r="G27" s="5">
        <v>27567.8523366878</v>
      </c>
      <c r="H27" s="5">
        <v>141325.47517999998</v>
      </c>
      <c r="I27" s="5">
        <v>102952.85699999999</v>
      </c>
      <c r="J27" s="8">
        <f t="shared" si="0"/>
        <v>1375532.3621577781</v>
      </c>
      <c r="K27" s="3"/>
      <c r="L27" s="45"/>
      <c r="M27" s="45"/>
      <c r="N27" s="45"/>
      <c r="O27" s="45"/>
      <c r="P27" s="45"/>
      <c r="Q27" s="43"/>
      <c r="R27" s="59"/>
      <c r="S27" s="39"/>
      <c r="IU27" s="51"/>
    </row>
    <row r="28" spans="1:255" x14ac:dyDescent="0.2">
      <c r="A28" s="161"/>
      <c r="B28" s="149" t="s">
        <v>14</v>
      </c>
      <c r="C28" s="150">
        <f t="shared" ref="C28:J28" si="1">SUM(C5:C27)</f>
        <v>57629577.435229994</v>
      </c>
      <c r="D28" s="150">
        <f t="shared" si="1"/>
        <v>2183752.0141513958</v>
      </c>
      <c r="E28" s="150">
        <f t="shared" si="1"/>
        <v>2964042.5189470495</v>
      </c>
      <c r="F28" s="150">
        <f t="shared" si="1"/>
        <v>56735.11272130649</v>
      </c>
      <c r="G28" s="150">
        <f t="shared" si="1"/>
        <v>349932.60130337742</v>
      </c>
      <c r="H28" s="150">
        <f t="shared" si="1"/>
        <v>-630111.97107361257</v>
      </c>
      <c r="I28" s="150">
        <f t="shared" si="1"/>
        <v>11147.163199285744</v>
      </c>
      <c r="J28" s="151">
        <f t="shared" si="1"/>
        <v>62989669.06217809</v>
      </c>
      <c r="K28" s="3"/>
      <c r="L28" s="45"/>
      <c r="M28" s="45"/>
      <c r="N28" s="45"/>
      <c r="O28" s="45"/>
      <c r="P28" s="45"/>
      <c r="Q28" s="43"/>
      <c r="R28" s="59"/>
      <c r="S28" s="39"/>
      <c r="IU28" s="51"/>
    </row>
    <row r="29" spans="1:255" x14ac:dyDescent="0.2">
      <c r="A29" s="68"/>
      <c r="B29" s="68"/>
      <c r="C29" s="47"/>
      <c r="D29" s="47"/>
      <c r="E29" s="47"/>
      <c r="F29" s="47"/>
      <c r="G29" s="47"/>
      <c r="H29" s="47"/>
      <c r="I29" s="47"/>
      <c r="J29" s="47"/>
      <c r="K29" s="3"/>
      <c r="L29" s="45"/>
      <c r="M29" s="45"/>
      <c r="N29" s="45"/>
      <c r="O29" s="45"/>
      <c r="P29" s="45"/>
      <c r="Q29" s="43"/>
      <c r="R29" s="59"/>
      <c r="S29" s="39"/>
      <c r="IU29" s="51"/>
    </row>
    <row r="30" spans="1:255" x14ac:dyDescent="0.2">
      <c r="A30" s="159"/>
      <c r="B30" s="17" t="s">
        <v>28</v>
      </c>
      <c r="C30" s="6">
        <f t="shared" ref="C30:J30" si="2">SUM(C5:C10)</f>
        <v>18158541.90904</v>
      </c>
      <c r="D30" s="18">
        <f t="shared" si="2"/>
        <v>142638.40207755935</v>
      </c>
      <c r="E30" s="18">
        <f t="shared" si="2"/>
        <v>1915589.5326907546</v>
      </c>
      <c r="F30" s="18">
        <f t="shared" si="2"/>
        <v>0</v>
      </c>
      <c r="G30" s="18">
        <f t="shared" si="2"/>
        <v>123580.95710400002</v>
      </c>
      <c r="H30" s="18">
        <f t="shared" si="2"/>
        <v>-2139114.1052910485</v>
      </c>
      <c r="I30" s="18">
        <f t="shared" si="2"/>
        <v>14785.259469722962</v>
      </c>
      <c r="J30" s="6">
        <f t="shared" si="2"/>
        <v>22217517.732525643</v>
      </c>
      <c r="K30" s="24"/>
      <c r="L30" s="47"/>
      <c r="M30" s="41"/>
      <c r="N30" s="42"/>
      <c r="O30" s="42"/>
      <c r="P30" s="42"/>
      <c r="Q30" s="42"/>
      <c r="R30" s="60"/>
      <c r="S30" s="61"/>
      <c r="IU30" s="51"/>
    </row>
    <row r="31" spans="1:255" x14ac:dyDescent="0.2">
      <c r="A31" s="159"/>
      <c r="B31" s="19" t="s">
        <v>29</v>
      </c>
      <c r="C31" s="157">
        <f t="shared" ref="C31:J31" si="3">SUM(C11:C14)</f>
        <v>6972929.7057300005</v>
      </c>
      <c r="D31" s="157">
        <f t="shared" si="3"/>
        <v>708273.75099999993</v>
      </c>
      <c r="E31" s="157">
        <f t="shared" si="3"/>
        <v>338307.80700000003</v>
      </c>
      <c r="F31" s="157">
        <f t="shared" si="3"/>
        <v>5743.4787213064901</v>
      </c>
      <c r="G31" s="157">
        <f t="shared" si="3"/>
        <v>50850.422951199129</v>
      </c>
      <c r="H31" s="157">
        <f t="shared" si="3"/>
        <v>253286.75084743614</v>
      </c>
      <c r="I31" s="157">
        <f t="shared" si="3"/>
        <v>378.90272956278932</v>
      </c>
      <c r="J31" s="8">
        <f t="shared" si="3"/>
        <v>7709251.708480496</v>
      </c>
      <c r="K31" s="1"/>
      <c r="L31" s="47"/>
      <c r="M31" s="41"/>
      <c r="N31" s="45"/>
      <c r="O31" s="45"/>
      <c r="P31" s="45"/>
      <c r="Q31" s="45"/>
      <c r="R31" s="57"/>
      <c r="S31" s="39"/>
      <c r="IU31" s="51"/>
    </row>
    <row r="32" spans="1:255" x14ac:dyDescent="0.2">
      <c r="A32" s="159"/>
      <c r="B32" s="19" t="s">
        <v>30</v>
      </c>
      <c r="C32" s="5">
        <f t="shared" ref="C32:J32" si="4">SUM(C15:C20)</f>
        <v>13153963</v>
      </c>
      <c r="D32" s="5">
        <f t="shared" si="4"/>
        <v>452063</v>
      </c>
      <c r="E32" s="5">
        <f t="shared" si="4"/>
        <v>272336</v>
      </c>
      <c r="F32" s="5">
        <f t="shared" si="4"/>
        <v>37688</v>
      </c>
      <c r="G32" s="5">
        <f t="shared" si="4"/>
        <v>32156</v>
      </c>
      <c r="H32" s="5">
        <f t="shared" si="4"/>
        <v>454666</v>
      </c>
      <c r="I32" s="5">
        <f t="shared" si="4"/>
        <v>0</v>
      </c>
      <c r="J32" s="8">
        <f t="shared" si="4"/>
        <v>13353852</v>
      </c>
      <c r="K32" s="24"/>
      <c r="L32" s="62"/>
      <c r="M32" s="63"/>
      <c r="N32" s="45"/>
      <c r="O32" s="45"/>
      <c r="P32" s="45"/>
      <c r="Q32" s="45"/>
      <c r="R32" s="57"/>
      <c r="S32" s="39"/>
      <c r="IU32" s="51"/>
    </row>
    <row r="33" spans="1:255" x14ac:dyDescent="0.2">
      <c r="A33" s="159"/>
      <c r="B33" s="19" t="s">
        <v>31</v>
      </c>
      <c r="C33" s="5">
        <f t="shared" ref="C33:J33" si="5">SUM(C21:C25)</f>
        <v>12862657</v>
      </c>
      <c r="D33" s="5">
        <f t="shared" si="5"/>
        <v>591774</v>
      </c>
      <c r="E33" s="5">
        <f t="shared" si="5"/>
        <v>294757</v>
      </c>
      <c r="F33" s="5">
        <f t="shared" si="5"/>
        <v>7005</v>
      </c>
      <c r="G33" s="5">
        <f t="shared" si="5"/>
        <v>41487</v>
      </c>
      <c r="H33" s="5">
        <f t="shared" si="5"/>
        <v>-222207</v>
      </c>
      <c r="I33" s="5">
        <f t="shared" si="5"/>
        <v>-4017</v>
      </c>
      <c r="J33" s="8">
        <f t="shared" si="5"/>
        <v>13926920</v>
      </c>
      <c r="K33" s="24"/>
      <c r="L33" s="62"/>
      <c r="M33" s="63"/>
      <c r="N33" s="45"/>
      <c r="O33" s="45"/>
      <c r="P33" s="45"/>
      <c r="Q33" s="45"/>
      <c r="R33" s="57"/>
      <c r="S33" s="39"/>
      <c r="IU33" s="51"/>
    </row>
    <row r="34" spans="1:255" x14ac:dyDescent="0.2">
      <c r="A34" s="160"/>
      <c r="B34" s="20" t="s">
        <v>32</v>
      </c>
      <c r="C34" s="5">
        <f t="shared" ref="C34:J34" si="6">+SUM(C26:C27)</f>
        <v>6481485.820460001</v>
      </c>
      <c r="D34" s="5">
        <f t="shared" si="6"/>
        <v>289002.86107383645</v>
      </c>
      <c r="E34" s="5">
        <f t="shared" si="6"/>
        <v>143052.17925629532</v>
      </c>
      <c r="F34" s="5">
        <f t="shared" si="6"/>
        <v>6298.634</v>
      </c>
      <c r="G34" s="5">
        <f t="shared" si="6"/>
        <v>101858.22124817828</v>
      </c>
      <c r="H34" s="5">
        <f t="shared" si="6"/>
        <v>1023256.3833699999</v>
      </c>
      <c r="I34" s="5">
        <f t="shared" si="6"/>
        <v>9.9999998928979039E-4</v>
      </c>
      <c r="J34" s="8">
        <f t="shared" si="6"/>
        <v>5782127.621171955</v>
      </c>
      <c r="K34" s="24"/>
      <c r="L34" s="62"/>
      <c r="M34" s="63"/>
      <c r="N34" s="48"/>
      <c r="O34" s="48"/>
      <c r="P34" s="48"/>
      <c r="Q34" s="48"/>
      <c r="R34" s="57"/>
      <c r="S34" s="39"/>
      <c r="IU34" s="51"/>
    </row>
    <row r="35" spans="1:255" x14ac:dyDescent="0.2">
      <c r="A35" s="77"/>
      <c r="B35" s="13" t="s">
        <v>14</v>
      </c>
      <c r="C35" s="22">
        <f>+SUM(C30:C34)</f>
        <v>57629577.435230002</v>
      </c>
      <c r="D35" s="22">
        <f t="shared" ref="D35:J35" si="7">+SUM(D30:D34)</f>
        <v>2183752.0141513958</v>
      </c>
      <c r="E35" s="22">
        <f t="shared" si="7"/>
        <v>2964042.51894705</v>
      </c>
      <c r="F35" s="22">
        <f t="shared" si="7"/>
        <v>56735.11272130649</v>
      </c>
      <c r="G35" s="22">
        <f t="shared" si="7"/>
        <v>349932.60130337742</v>
      </c>
      <c r="H35" s="22">
        <f t="shared" si="7"/>
        <v>-630111.97107361257</v>
      </c>
      <c r="I35" s="22">
        <f t="shared" si="7"/>
        <v>11147.16319928574</v>
      </c>
      <c r="J35" s="23">
        <f t="shared" si="7"/>
        <v>62989669.06217809</v>
      </c>
      <c r="K35" s="24"/>
      <c r="L35" s="39"/>
      <c r="M35" s="39"/>
      <c r="N35" s="49"/>
      <c r="O35" s="49"/>
      <c r="P35" s="49"/>
      <c r="Q35" s="49"/>
      <c r="R35" s="46"/>
      <c r="S35" s="39"/>
      <c r="IU35" s="51"/>
    </row>
    <row r="36" spans="1:255" x14ac:dyDescent="0.2">
      <c r="A36" s="38"/>
      <c r="B36" s="78"/>
      <c r="C36" s="64"/>
      <c r="D36" s="26"/>
      <c r="E36" s="26"/>
      <c r="F36" s="26"/>
      <c r="G36" s="26"/>
      <c r="H36" s="26"/>
      <c r="I36" s="26"/>
      <c r="J36" s="26"/>
      <c r="K36" s="24"/>
      <c r="IU36" s="51"/>
    </row>
    <row r="37" spans="1:255" x14ac:dyDescent="0.2">
      <c r="B37" s="78"/>
    </row>
    <row r="38" spans="1:255" x14ac:dyDescent="0.2">
      <c r="A38" s="66"/>
      <c r="B38" s="67"/>
      <c r="C38" s="67"/>
      <c r="D38" s="67"/>
      <c r="E38" s="67"/>
    </row>
    <row r="39" spans="1:255" x14ac:dyDescent="0.2">
      <c r="A39" s="68"/>
      <c r="B39" s="68"/>
      <c r="C39" s="3"/>
      <c r="D39" s="3"/>
      <c r="E39" s="69"/>
      <c r="G39" s="70"/>
    </row>
    <row r="40" spans="1:255" x14ac:dyDescent="0.2">
      <c r="A40" s="68"/>
      <c r="B40" s="68"/>
      <c r="C40" s="3"/>
      <c r="D40" s="3"/>
      <c r="E40" s="69"/>
      <c r="G40" s="70"/>
      <c r="J40" s="47"/>
    </row>
    <row r="41" spans="1:255" x14ac:dyDescent="0.2">
      <c r="A41" s="68"/>
      <c r="B41" s="68"/>
      <c r="C41" s="3"/>
      <c r="D41" s="3"/>
      <c r="E41" s="69"/>
      <c r="G41" s="70"/>
      <c r="J41" s="47"/>
    </row>
    <row r="42" spans="1:255" x14ac:dyDescent="0.2">
      <c r="A42" s="68"/>
      <c r="B42" s="68"/>
      <c r="C42" s="3"/>
      <c r="D42" s="3"/>
      <c r="E42" s="69"/>
      <c r="G42" s="70"/>
      <c r="J42" s="47"/>
    </row>
    <row r="43" spans="1:255" x14ac:dyDescent="0.2">
      <c r="A43" s="68"/>
      <c r="B43" s="68"/>
      <c r="C43" s="3"/>
      <c r="D43" s="3"/>
      <c r="E43" s="69"/>
      <c r="G43" s="70"/>
      <c r="J43" s="70"/>
    </row>
    <row r="44" spans="1:255" x14ac:dyDescent="0.2">
      <c r="A44" s="68"/>
      <c r="B44" s="68"/>
      <c r="C44" s="3"/>
      <c r="D44" s="3"/>
      <c r="E44" s="69"/>
      <c r="G44" s="70"/>
    </row>
    <row r="45" spans="1:255" x14ac:dyDescent="0.2">
      <c r="A45" s="68"/>
      <c r="B45" s="68"/>
      <c r="C45" s="3"/>
      <c r="D45" s="3"/>
      <c r="E45" s="69"/>
      <c r="G45" s="70"/>
    </row>
    <row r="46" spans="1:255" x14ac:dyDescent="0.2">
      <c r="A46" s="68"/>
      <c r="B46" s="68"/>
      <c r="C46" s="3"/>
      <c r="D46" s="3"/>
      <c r="E46" s="69"/>
      <c r="G46" s="70"/>
    </row>
    <row r="47" spans="1:255" x14ac:dyDescent="0.2">
      <c r="A47" s="68"/>
      <c r="B47" s="68"/>
      <c r="C47" s="3"/>
      <c r="D47" s="3"/>
      <c r="E47" s="69"/>
      <c r="G47" s="70"/>
    </row>
    <row r="48" spans="1:255" x14ac:dyDescent="0.2">
      <c r="A48" s="68"/>
      <c r="B48" s="68"/>
      <c r="C48" s="3"/>
      <c r="D48" s="3"/>
      <c r="E48" s="69"/>
      <c r="G48" s="70"/>
    </row>
    <row r="49" spans="1:7" x14ac:dyDescent="0.2">
      <c r="A49" s="68"/>
      <c r="B49" s="68"/>
      <c r="C49" s="3"/>
      <c r="D49" s="3"/>
      <c r="E49" s="69"/>
      <c r="G49" s="70"/>
    </row>
    <row r="50" spans="1:7" x14ac:dyDescent="0.2">
      <c r="A50" s="68"/>
      <c r="B50" s="68"/>
      <c r="C50" s="3"/>
      <c r="D50" s="3"/>
      <c r="E50" s="69"/>
      <c r="G50" s="70"/>
    </row>
    <row r="51" spans="1:7" x14ac:dyDescent="0.2">
      <c r="A51" s="68"/>
      <c r="B51" s="68"/>
      <c r="C51" s="3"/>
      <c r="D51" s="3"/>
      <c r="E51" s="69"/>
    </row>
    <row r="52" spans="1:7" x14ac:dyDescent="0.2">
      <c r="A52" s="68"/>
      <c r="B52" s="68"/>
      <c r="C52" s="3"/>
      <c r="D52" s="3"/>
      <c r="E52" s="69"/>
    </row>
    <row r="53" spans="1:7" x14ac:dyDescent="0.2">
      <c r="A53" s="68"/>
      <c r="B53" s="68"/>
      <c r="C53" s="3"/>
      <c r="D53" s="3"/>
      <c r="E53" s="69"/>
    </row>
    <row r="54" spans="1:7" x14ac:dyDescent="0.2">
      <c r="A54" s="68"/>
      <c r="B54" s="68"/>
      <c r="C54" s="3"/>
      <c r="D54" s="3"/>
      <c r="E54" s="69"/>
    </row>
    <row r="55" spans="1:7" x14ac:dyDescent="0.2">
      <c r="A55" s="68"/>
      <c r="B55" s="68"/>
      <c r="C55" s="3"/>
      <c r="D55" s="3"/>
      <c r="E55" s="69"/>
    </row>
    <row r="56" spans="1:7" x14ac:dyDescent="0.2">
      <c r="A56" s="68"/>
      <c r="B56" s="68"/>
      <c r="C56" s="3"/>
      <c r="D56" s="3"/>
      <c r="E56" s="69"/>
    </row>
    <row r="57" spans="1:7" x14ac:dyDescent="0.2">
      <c r="A57" s="68"/>
      <c r="B57" s="68"/>
      <c r="C57" s="3"/>
      <c r="D57" s="3"/>
      <c r="E57" s="69"/>
    </row>
    <row r="58" spans="1:7" x14ac:dyDescent="0.2">
      <c r="A58" s="68"/>
      <c r="B58" s="68"/>
      <c r="C58" s="3"/>
      <c r="D58" s="3"/>
      <c r="E58" s="3"/>
    </row>
    <row r="59" spans="1:7" x14ac:dyDescent="0.2">
      <c r="A59" s="68"/>
      <c r="B59" s="68"/>
      <c r="C59" s="3"/>
      <c r="D59" s="3"/>
      <c r="E59" s="3"/>
    </row>
    <row r="60" spans="1:7" x14ac:dyDescent="0.2">
      <c r="A60" s="68"/>
      <c r="B60" s="68"/>
      <c r="C60" s="3"/>
      <c r="D60" s="3"/>
      <c r="E60" s="3"/>
    </row>
    <row r="61" spans="1:7" x14ac:dyDescent="0.2">
      <c r="A61" s="68"/>
      <c r="B61" s="68"/>
      <c r="C61" s="3"/>
      <c r="D61" s="3"/>
      <c r="E61" s="3"/>
    </row>
    <row r="62" spans="1:7" x14ac:dyDescent="0.2">
      <c r="A62" s="68"/>
      <c r="B62" s="68"/>
      <c r="C62" s="3"/>
      <c r="D62" s="3"/>
      <c r="E62" s="3"/>
    </row>
    <row r="63" spans="1:7" x14ac:dyDescent="0.2">
      <c r="A63" s="68"/>
      <c r="B63" s="68"/>
      <c r="C63" s="3"/>
      <c r="D63" s="3"/>
      <c r="E63" s="3"/>
    </row>
    <row r="64" spans="1:7" x14ac:dyDescent="0.2">
      <c r="A64" s="68"/>
      <c r="B64" s="68"/>
      <c r="C64" s="3"/>
      <c r="D64" s="3"/>
      <c r="E64" s="3"/>
    </row>
    <row r="65" spans="1:5" x14ac:dyDescent="0.2">
      <c r="A65" s="68"/>
      <c r="B65" s="68"/>
      <c r="C65" s="3"/>
      <c r="D65" s="3"/>
      <c r="E65" s="3"/>
    </row>
    <row r="66" spans="1:5" x14ac:dyDescent="0.2">
      <c r="A66" s="68"/>
      <c r="B66" s="68"/>
      <c r="C66" s="3"/>
      <c r="D66" s="3"/>
      <c r="E66" s="3"/>
    </row>
    <row r="67" spans="1:5" x14ac:dyDescent="0.2">
      <c r="A67" s="66"/>
      <c r="B67" s="67"/>
      <c r="C67" s="67"/>
      <c r="D67" s="67"/>
      <c r="E67" s="67"/>
    </row>
  </sheetData>
  <pageMargins left="0.70866141732283472" right="0.70866141732283472" top="0.74803149606299213" bottom="0.74803149606299213" header="0.31496062992125984" footer="0.31496062992125984"/>
  <pageSetup paperSize="9" scale="10" orientation="landscape" cellComments="asDisplayed" horizontalDpi="300" verticalDpi="300" r:id="rId1"/>
  <ignoredErrors>
    <ignoredError sqref="D30:I34 C30:C3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Normal="100" workbookViewId="0">
      <selection activeCell="K31" sqref="K31"/>
    </sheetView>
  </sheetViews>
  <sheetFormatPr defaultColWidth="8.85546875" defaultRowHeight="12" x14ac:dyDescent="0.2"/>
  <cols>
    <col min="1" max="1" width="8.5703125" style="104" customWidth="1"/>
    <col min="2" max="2" width="39.28515625" style="104" customWidth="1"/>
    <col min="3" max="8" width="12.85546875" style="104" customWidth="1"/>
    <col min="9" max="16384" width="8.85546875" style="104"/>
  </cols>
  <sheetData>
    <row r="1" spans="1:13" ht="15.75" x14ac:dyDescent="0.25">
      <c r="A1" s="72" t="str">
        <f>'Skema1-7_2015'!A1</f>
        <v>Endelig version 31. januar 2018</v>
      </c>
    </row>
    <row r="2" spans="1:13" ht="13.5" customHeight="1" x14ac:dyDescent="0.2">
      <c r="A2" s="105" t="s">
        <v>181</v>
      </c>
    </row>
    <row r="3" spans="1:13" ht="13.5" customHeight="1" x14ac:dyDescent="0.2">
      <c r="A3" s="90" t="s">
        <v>47</v>
      </c>
    </row>
    <row r="4" spans="1:13" ht="58.5" customHeight="1" x14ac:dyDescent="0.2">
      <c r="A4" s="73" t="s">
        <v>6</v>
      </c>
      <c r="B4" s="73" t="s">
        <v>0</v>
      </c>
      <c r="C4" s="12" t="s">
        <v>25</v>
      </c>
      <c r="D4" s="12" t="s">
        <v>24</v>
      </c>
      <c r="E4" s="12" t="s">
        <v>35</v>
      </c>
      <c r="F4" s="12" t="s">
        <v>21</v>
      </c>
      <c r="G4" s="12" t="s">
        <v>26</v>
      </c>
      <c r="H4" s="12" t="s">
        <v>33</v>
      </c>
      <c r="K4" s="109"/>
      <c r="L4" s="109"/>
      <c r="M4" s="109"/>
    </row>
    <row r="5" spans="1:13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88">
        <f>IF(DRG_15!C5=0,"-",DRG_16!C5/DRG_15!C5*100-100)</f>
        <v>-2.6673292350431836</v>
      </c>
      <c r="D5" s="81">
        <f>IF(DRG_15!D5=0,"-",DRG_16!D5/DRG_15!D5*100-100)</f>
        <v>9.2601212502506201</v>
      </c>
      <c r="E5" s="81">
        <f>IF(DRG_15!E5=0,"-",DRG_16!E5/DRG_15!E5*100-100)</f>
        <v>1.4147687140364127</v>
      </c>
      <c r="F5" s="81">
        <f>IF(DRG_15!F5=0,"-",DRG_16!F5/DRG_15!F5*100-100)</f>
        <v>25.798635272732426</v>
      </c>
      <c r="G5" s="81">
        <f>IF(DRG_16!G5=0,"-",DRG_16!G5/DRG_15!G5*100-100)</f>
        <v>-54.867442034787764</v>
      </c>
      <c r="H5" s="29">
        <f>IF(DRG_15!I5=0,"-",DRG_16!I5/DRG_15!I5*100-100)</f>
        <v>0.3025236854292217</v>
      </c>
      <c r="J5" s="106"/>
      <c r="K5" s="109"/>
      <c r="L5" s="109"/>
      <c r="M5" s="109"/>
    </row>
    <row r="6" spans="1:13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88">
        <f>IF(DRG_15!C6=0,"-",DRG_16!C6/DRG_15!C6*100-100)</f>
        <v>-5.193724276379271</v>
      </c>
      <c r="D6" s="81">
        <f>IF(DRG_15!D6=0,"-",DRG_16!D6/DRG_15!D6*100-100)</f>
        <v>-13.778421582567475</v>
      </c>
      <c r="E6" s="81">
        <f>IF(DRG_15!E6=0,"-",DRG_16!E6/DRG_15!E6*100-100)</f>
        <v>-8.3662063891125484</v>
      </c>
      <c r="F6" s="81">
        <f>IF(DRG_15!F6=0,"-",DRG_16!F6/DRG_15!F6*100-100)</f>
        <v>-40.275981026304443</v>
      </c>
      <c r="G6" s="81">
        <f>IF(DRG_16!G6=0,"-",DRG_16!G6/DRG_15!G6*100-100)</f>
        <v>-54.861202541205657</v>
      </c>
      <c r="H6" s="29">
        <f>IF(DRG_15!I6=0,"-",DRG_16!I6/DRG_15!I6*100-100)</f>
        <v>-6.5899760590088903</v>
      </c>
      <c r="J6" s="106"/>
      <c r="K6" s="109"/>
      <c r="L6" s="109"/>
      <c r="M6" s="109"/>
    </row>
    <row r="7" spans="1:13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88">
        <f>IF(DRG_15!C7=0,"-",DRG_16!C7/DRG_15!C7*100-100)</f>
        <v>5.5238449907880351</v>
      </c>
      <c r="D7" s="81">
        <f>IF(DRG_15!D7=0,"-",DRG_16!D7/DRG_15!D7*100-100)</f>
        <v>7.6723466271165819</v>
      </c>
      <c r="E7" s="81">
        <f>IF(DRG_15!E7=0,"-",DRG_16!E7/DRG_15!E7*100-100)</f>
        <v>6.1648991814567324</v>
      </c>
      <c r="F7" s="81">
        <f>IF(DRG_15!F7=0,"-",DRG_16!F7/DRG_15!F7*100-100)</f>
        <v>133.37464150408951</v>
      </c>
      <c r="G7" s="81">
        <f>IF(DRG_16!G7=0,"-",DRG_16!G7/DRG_15!G7*100-100)</f>
        <v>-56.827561136193246</v>
      </c>
      <c r="H7" s="29">
        <f>IF(DRG_15!I7=0,"-",DRG_16!I7/DRG_15!I7*100-100)</f>
        <v>5.7525662649004374</v>
      </c>
      <c r="J7" s="106"/>
      <c r="K7" s="109"/>
      <c r="L7" s="109"/>
      <c r="M7" s="109"/>
    </row>
    <row r="8" spans="1:13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88">
        <f>IF(DRG_15!C8=0,"-",DRG_16!C8/DRG_15!C8*100-100)</f>
        <v>-5.4663119762733032</v>
      </c>
      <c r="D8" s="81">
        <f>IF(DRG_15!D8=0,"-",DRG_16!D8/DRG_15!D8*100-100)</f>
        <v>-2.0774267260493531</v>
      </c>
      <c r="E8" s="81">
        <f>IF(DRG_15!E8=0,"-",DRG_16!E8/DRG_15!E8*100-100)</f>
        <v>-3.9082032464705492</v>
      </c>
      <c r="F8" s="81">
        <f>IF(DRG_15!F8=0,"-",DRG_16!F8/DRG_15!F8*100-100)</f>
        <v>3.1177651405778022</v>
      </c>
      <c r="G8" s="81">
        <f>IF(DRG_16!G8=0,"-",DRG_16!G8/DRG_15!G8*100-100)</f>
        <v>-65.053945576309289</v>
      </c>
      <c r="H8" s="29">
        <f>IF(DRG_15!I8=0,"-",DRG_16!I8/DRG_15!I8*100-100)</f>
        <v>-4.0511356915029921</v>
      </c>
      <c r="J8" s="106"/>
      <c r="K8" s="109"/>
      <c r="L8" s="109"/>
      <c r="M8" s="109"/>
    </row>
    <row r="9" spans="1:13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88">
        <f>IF(DRG_15!C9=0,"-",DRG_16!C9/DRG_15!C9*100-100)</f>
        <v>4.8714378705768695</v>
      </c>
      <c r="D9" s="81">
        <f>IF(DRG_15!D9=0,"-",DRG_16!D9/DRG_15!D9*100-100)</f>
        <v>0.73224842115051558</v>
      </c>
      <c r="E9" s="81">
        <f>IF(DRG_15!E9=0,"-",DRG_16!E9/DRG_15!E9*100-100)</f>
        <v>3.5692975736321557</v>
      </c>
      <c r="F9" s="81">
        <f>IF(DRG_15!F9=0,"-",DRG_16!F9/DRG_15!F9*100-100)</f>
        <v>-12.983523297702718</v>
      </c>
      <c r="G9" s="81">
        <f>IF(DRG_16!G9=0,"-",DRG_16!G9/DRG_15!G9*100-100)</f>
        <v>4.7562264004962174</v>
      </c>
      <c r="H9" s="29">
        <f>IF(DRG_15!I9=0,"-",DRG_16!I9/DRG_15!I9*100-100)</f>
        <v>3.9397561022001639</v>
      </c>
      <c r="J9" s="106"/>
      <c r="K9" s="109"/>
      <c r="L9" s="109"/>
      <c r="M9" s="109"/>
    </row>
    <row r="10" spans="1:13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88">
        <f>IF(DRG_15!C10=0,"-",DRG_16!C10/DRG_15!C10*100-100)</f>
        <v>1.9835601670933727</v>
      </c>
      <c r="D10" s="81">
        <f>IF(DRG_15!D10=0,"-",DRG_16!D10/DRG_15!D10*100-100)</f>
        <v>3.9886936920820091</v>
      </c>
      <c r="E10" s="81">
        <f>IF(DRG_15!E10=0,"-",DRG_16!E10/DRG_15!E10*100-100)</f>
        <v>2.7568126940324333</v>
      </c>
      <c r="F10" s="81">
        <f>IF(DRG_15!F10=0,"-",DRG_16!F10/DRG_15!F10*100-100)</f>
        <v>-0.16405165523913467</v>
      </c>
      <c r="G10" s="81">
        <f>IF(DRG_16!G10=0,"-",DRG_16!G10/DRG_15!G10*100-100)</f>
        <v>1.7838520226106596</v>
      </c>
      <c r="H10" s="29">
        <f>IF(DRG_15!I10=0,"-",DRG_16!I10/DRG_15!I10*100-100)</f>
        <v>2.964582350958338</v>
      </c>
      <c r="J10" s="106"/>
      <c r="K10" s="109"/>
      <c r="L10" s="109"/>
      <c r="M10" s="109"/>
    </row>
    <row r="11" spans="1:13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88">
        <f>IF(DRG_15!C11=0,"-",DRG_16!C11/DRG_15!C11*100-100)</f>
        <v>4.1590762789613223</v>
      </c>
      <c r="D11" s="81">
        <f>IF(DRG_15!D11=0,"-",DRG_16!D11/DRG_15!D11*100-100)</f>
        <v>49.881569359993051</v>
      </c>
      <c r="E11" s="81">
        <f>IF(DRG_15!E11=0,"-",DRG_16!E11/DRG_15!E11*100-100)</f>
        <v>23.233845645738455</v>
      </c>
      <c r="F11" s="81">
        <f>IF(DRG_15!F11=0,"-",DRG_16!F11/DRG_15!F11*100-100)</f>
        <v>107.95573863177447</v>
      </c>
      <c r="G11" s="81">
        <f>IF(DRG_16!G11=0,"-",DRG_16!G11/DRG_15!G11*100-100)</f>
        <v>25.983220711752338</v>
      </c>
      <c r="H11" s="29">
        <f>IF(DRG_15!I11=0,"-",DRG_16!I11/DRG_15!I11*100-100)</f>
        <v>14.03452388836763</v>
      </c>
      <c r="J11" s="106"/>
      <c r="K11" s="109"/>
      <c r="L11" s="109"/>
      <c r="M11" s="109"/>
    </row>
    <row r="12" spans="1:13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88">
        <f>IF(DRG_15!C12=0,"-",DRG_16!C12/DRG_15!C12*100-100)</f>
        <v>10.152899367905547</v>
      </c>
      <c r="D12" s="81">
        <f>IF(DRG_15!D12=0,"-",DRG_16!D12/DRG_15!D12*100-100)</f>
        <v>6.4707603020395652</v>
      </c>
      <c r="E12" s="81">
        <f>IF(DRG_15!E12=0,"-",DRG_16!E12/DRG_15!E12*100-100)</f>
        <v>8.9510079442466406</v>
      </c>
      <c r="F12" s="81">
        <f>IF(DRG_15!F12=0,"-",DRG_16!F12/DRG_15!F12*100-100)</f>
        <v>7.8612164912192526</v>
      </c>
      <c r="G12" s="81">
        <f>IF(DRG_16!G12=0,"-",DRG_16!G12/DRG_15!G12*100-100)</f>
        <v>-8.588738733113658</v>
      </c>
      <c r="H12" s="29">
        <f>IF(DRG_15!I12=0,"-",DRG_16!I12/DRG_15!I12*100-100)</f>
        <v>8.4849759624515713</v>
      </c>
      <c r="J12" s="106"/>
      <c r="K12" s="109"/>
      <c r="L12" s="109"/>
      <c r="M12" s="109"/>
    </row>
    <row r="13" spans="1:13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88">
        <f>IF(DRG_15!C13=0,"-",DRG_16!C13/DRG_15!C13*100-100)</f>
        <v>-14.034714167511837</v>
      </c>
      <c r="D13" s="81">
        <f>IF(DRG_15!D13=0,"-",DRG_16!D13/DRG_15!D13*100-100)</f>
        <v>-42.651460074136629</v>
      </c>
      <c r="E13" s="81">
        <f>IF(DRG_15!E13=0,"-",DRG_16!E13/DRG_15!E13*100-100)</f>
        <v>-26.427583373424497</v>
      </c>
      <c r="F13" s="81">
        <f>IF(DRG_15!F13=0,"-",DRG_16!F13/DRG_15!F13*100-100)</f>
        <v>-87.418615985778402</v>
      </c>
      <c r="G13" s="81">
        <f>IF(DRG_16!G13=0,"-",DRG_16!G13/DRG_15!G13*100-100)</f>
        <v>3.9157598070510602</v>
      </c>
      <c r="H13" s="29">
        <f>IF(DRG_15!I13=0,"-",DRG_16!I13/DRG_15!I13*100-100)</f>
        <v>-17.415146952805827</v>
      </c>
      <c r="J13" s="106"/>
      <c r="K13" s="109"/>
      <c r="L13" s="109"/>
      <c r="M13" s="109"/>
    </row>
    <row r="14" spans="1:13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88">
        <f>IF(DRG_15!C14=0,"-",DRG_16!C14/DRG_15!C14*100-100)</f>
        <v>6.7983204778677901</v>
      </c>
      <c r="D14" s="81">
        <f>IF(DRG_15!D14=0,"-",DRG_16!D14/DRG_15!D14*100-100)</f>
        <v>-8.387787834307403E-2</v>
      </c>
      <c r="E14" s="81">
        <f>IF(DRG_15!E14=0,"-",DRG_16!E14/DRG_15!E14*100-100)</f>
        <v>5.3030153773408415</v>
      </c>
      <c r="F14" s="81">
        <f>IF(DRG_15!F14=0,"-",DRG_16!F14/DRG_15!F14*100-100)</f>
        <v>17.901639344262293</v>
      </c>
      <c r="G14" s="81">
        <f>IF(DRG_16!G14=0,"-",DRG_16!G14/DRG_15!G14*100-100)</f>
        <v>51.71638480822952</v>
      </c>
      <c r="H14" s="29">
        <f>IF(DRG_15!I14=0,"-",DRG_16!I14/DRG_15!I14*100-100)</f>
        <v>6.3081404305178381</v>
      </c>
      <c r="J14" s="106"/>
      <c r="K14" s="109"/>
      <c r="L14" s="109"/>
      <c r="M14" s="109"/>
    </row>
    <row r="15" spans="1:13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88">
        <f>IF(DRG_15!C15=0,"-",DRG_16!C15/DRG_15!C15*100-100)</f>
        <v>-0.69407607769376511</v>
      </c>
      <c r="D15" s="81">
        <f>IF(DRG_15!D15=0,"-",DRG_16!D15/DRG_15!D15*100-100)</f>
        <v>8.1181687280461574</v>
      </c>
      <c r="E15" s="81">
        <f>IF(DRG_15!E15=0,"-",DRG_16!E15/DRG_15!E15*100-100)</f>
        <v>3.2076756519376204</v>
      </c>
      <c r="F15" s="81">
        <f>IF(DRG_15!F15=0,"-",DRG_16!F15/DRG_15!F15*100-100)</f>
        <v>24.911334941126412</v>
      </c>
      <c r="G15" s="81">
        <f>IF(DRG_16!G15=0,"-",DRG_16!G15/DRG_15!G15*100-100)</f>
        <v>-0.84138243488511932</v>
      </c>
      <c r="H15" s="29">
        <f>IF(DRG_15!I15=0,"-",DRG_16!I15/DRG_15!I15*100-100)</f>
        <v>2.1020636958099601</v>
      </c>
      <c r="J15" s="106"/>
      <c r="K15" s="109"/>
      <c r="L15" s="109"/>
      <c r="M15" s="109"/>
    </row>
    <row r="16" spans="1:13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88">
        <f>IF(DRG_15!C16=0,"-",DRG_16!C16/DRG_15!C16*100-100)</f>
        <v>0.13182911371836781</v>
      </c>
      <c r="D16" s="81">
        <f>IF(DRG_15!D16=0,"-",DRG_16!D16/DRG_15!D16*100-100)</f>
        <v>6.8260617449406027</v>
      </c>
      <c r="E16" s="81">
        <f>IF(DRG_15!E16=0,"-",DRG_16!E16/DRG_15!E16*100-100)</f>
        <v>3.1962172753676725</v>
      </c>
      <c r="F16" s="81">
        <f>IF(DRG_15!F16=0,"-",DRG_16!F16/DRG_15!F16*100-100)</f>
        <v>37.267966548391882</v>
      </c>
      <c r="G16" s="81">
        <f>IF(DRG_16!G16=0,"-",DRG_16!G16/DRG_15!G16*100-100)</f>
        <v>0.3286365861889351</v>
      </c>
      <c r="H16" s="29">
        <f>IF(DRG_15!I16=0,"-",DRG_16!I16/DRG_15!I16*100-100)</f>
        <v>1.5231156753258972</v>
      </c>
      <c r="J16" s="106"/>
      <c r="K16" s="109"/>
      <c r="L16" s="109"/>
      <c r="M16" s="109"/>
    </row>
    <row r="17" spans="1:13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88">
        <f>IF(DRG_15!C17=0,"-",DRG_16!C17/DRG_15!C17*100-100)</f>
        <v>1.2038834570112584</v>
      </c>
      <c r="D17" s="81">
        <f>IF(DRG_15!D17=0,"-",DRG_16!D17/DRG_15!D17*100-100)</f>
        <v>7.6738648980827691</v>
      </c>
      <c r="E17" s="81">
        <f>IF(DRG_15!E17=0,"-",DRG_16!E17/DRG_15!E17*100-100)</f>
        <v>4.1323833255575408</v>
      </c>
      <c r="F17" s="81">
        <f>IF(DRG_15!F17=0,"-",DRG_16!F17/DRG_15!F17*100-100)</f>
        <v>21.051897191654035</v>
      </c>
      <c r="G17" s="81">
        <f>IF(DRG_16!G17=0,"-",DRG_16!G17/DRG_15!G17*100-100)</f>
        <v>1.1031969851987355</v>
      </c>
      <c r="H17" s="29">
        <f>IF(DRG_15!I17=0,"-",DRG_16!I17/DRG_15!I17*100-100)</f>
        <v>3.2394073027089973</v>
      </c>
      <c r="J17" s="106"/>
      <c r="K17" s="109"/>
      <c r="L17" s="109"/>
      <c r="M17" s="109"/>
    </row>
    <row r="18" spans="1:13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88">
        <f>IF(DRG_15!C18=0,"-",DRG_16!C18/DRG_15!C18*100-100)</f>
        <v>1.4387402861714094</v>
      </c>
      <c r="D18" s="81">
        <f>IF(DRG_15!D18=0,"-",DRG_16!D18/DRG_15!D18*100-100)</f>
        <v>0.83804588650413336</v>
      </c>
      <c r="E18" s="81">
        <f>IF(DRG_15!E18=0,"-",DRG_16!E18/DRG_15!E18*100-100)</f>
        <v>1.2052314019858699</v>
      </c>
      <c r="F18" s="81">
        <f>IF(DRG_15!F18=0,"-",DRG_16!F18/DRG_15!F18*100-100)</f>
        <v>13.288878304358192</v>
      </c>
      <c r="G18" s="81">
        <f>IF(DRG_16!G18=0,"-",DRG_16!G18/DRG_15!G18*100-100)</f>
        <v>-17.002997320151181</v>
      </c>
      <c r="H18" s="29">
        <f>IF(DRG_15!I18=0,"-",DRG_16!I18/DRG_15!I18*100-100)</f>
        <v>1.106014247458333</v>
      </c>
      <c r="J18" s="106"/>
      <c r="K18" s="109"/>
      <c r="L18" s="109"/>
      <c r="M18" s="109"/>
    </row>
    <row r="19" spans="1:13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88">
        <f>IF(DRG_15!C19=0,"-",DRG_16!C19/DRG_15!C19*100-100)</f>
        <v>-7.3308382658795779</v>
      </c>
      <c r="D19" s="81">
        <f>IF(DRG_15!D19=0,"-",DRG_16!D19/DRG_15!D19*100-100)</f>
        <v>9.0907038320022053</v>
      </c>
      <c r="E19" s="81">
        <f>IF(DRG_15!E19=0,"-",DRG_16!E19/DRG_15!E19*100-100)</f>
        <v>2.5858253412876167</v>
      </c>
      <c r="F19" s="81">
        <f>IF(DRG_15!F19=0,"-",DRG_16!F19/DRG_15!F19*100-100)</f>
        <v>29.235427991047089</v>
      </c>
      <c r="G19" s="81">
        <f>IF(DRG_16!G19=0,"-",DRG_16!G19/DRG_15!G19*100-100)</f>
        <v>-5.3268988575595273</v>
      </c>
      <c r="H19" s="29">
        <f>IF(DRG_15!I19=0,"-",DRG_16!I19/DRG_15!I19*100-100)</f>
        <v>-1.4652763629370469</v>
      </c>
      <c r="J19" s="106"/>
      <c r="K19" s="109"/>
      <c r="L19" s="109"/>
      <c r="M19" s="109"/>
    </row>
    <row r="20" spans="1:13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88">
        <f>IF(DRG_15!C20=0,"-",DRG_16!C20/DRG_15!C20*100-100)</f>
        <v>-23.787761425251745</v>
      </c>
      <c r="D20" s="81">
        <f>IF(DRG_15!D20=0,"-",DRG_16!D20/DRG_15!D20*100-100)</f>
        <v>6.9600397074385967</v>
      </c>
      <c r="E20" s="81">
        <f>IF(DRG_15!E20=0,"-",DRG_16!E20/DRG_15!E20*100-100)</f>
        <v>3.6435488048391278</v>
      </c>
      <c r="F20" s="81">
        <f>IF(DRG_15!F20=0,"-",DRG_16!F20/DRG_15!F20*100-100)</f>
        <v>283.01886792452831</v>
      </c>
      <c r="G20" s="81">
        <f>IF(DRG_16!G20=0,"-",DRG_16!G20/DRG_15!G20*100-100)</f>
        <v>-22.976358227650465</v>
      </c>
      <c r="H20" s="29">
        <f>IF(DRG_15!I20=0,"-",DRG_16!I20/DRG_15!I20*100-100)</f>
        <v>3.5297999588081268</v>
      </c>
      <c r="J20" s="106"/>
      <c r="K20" s="109"/>
      <c r="L20" s="109"/>
      <c r="M20" s="109"/>
    </row>
    <row r="21" spans="1:13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88">
        <f>IF(DRG_15!C21=0,"-",DRG_16!C21/DRG_15!C21*100-100)</f>
        <v>2.1535778308080467</v>
      </c>
      <c r="D21" s="81">
        <f>IF(DRG_15!D21=0,"-",DRG_16!D21/DRG_15!D21*100-100)</f>
        <v>2.8657387710447892</v>
      </c>
      <c r="E21" s="81">
        <f>IF(DRG_15!E21=0,"-",DRG_16!E21/DRG_15!E21*100-100)</f>
        <v>2.4235528071845209</v>
      </c>
      <c r="F21" s="81">
        <f>IF(DRG_15!F21=0,"-",DRG_16!F21/DRG_15!F21*100-100)</f>
        <v>8.3205066185848153</v>
      </c>
      <c r="G21" s="81">
        <f>IF(DRG_16!G21=0,"-",DRG_16!G21/DRG_15!G21*100-100)</f>
        <v>1.9538473908536673</v>
      </c>
      <c r="H21" s="29">
        <f>IF(DRG_15!I21=0,"-",DRG_16!I21/DRG_15!I21*100-100)</f>
        <v>2.5062303097430458</v>
      </c>
      <c r="J21" s="106"/>
      <c r="K21" s="109"/>
      <c r="L21" s="109"/>
      <c r="M21" s="109"/>
    </row>
    <row r="22" spans="1:13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88">
        <f>IF(DRG_15!C22=0,"-",DRG_16!C22/DRG_15!C22*100-100)</f>
        <v>0.82994719768612413</v>
      </c>
      <c r="D22" s="81">
        <f>IF(DRG_15!D22=0,"-",DRG_16!D22/DRG_15!D22*100-100)</f>
        <v>5.8106630829328338</v>
      </c>
      <c r="E22" s="81">
        <f>IF(DRG_15!E22=0,"-",DRG_16!E22/DRG_15!E22*100-100)</f>
        <v>3.0878605770235197</v>
      </c>
      <c r="F22" s="81">
        <f>IF(DRG_15!F22=0,"-",DRG_16!F22/DRG_15!F22*100-100)</f>
        <v>15.357674714165825</v>
      </c>
      <c r="G22" s="81">
        <f>IF(DRG_16!G22=0,"-",DRG_16!G22/DRG_15!G22*100-100)</f>
        <v>0.60382690554502005</v>
      </c>
      <c r="H22" s="29">
        <f>IF(DRG_15!I22=0,"-",DRG_16!I22/DRG_15!I22*100-100)</f>
        <v>1.9340670093176442</v>
      </c>
      <c r="J22" s="106"/>
      <c r="K22" s="109"/>
      <c r="L22" s="109"/>
      <c r="M22" s="109"/>
    </row>
    <row r="23" spans="1:13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88">
        <f>IF(DRG_15!C23=0,"-",DRG_16!C23/DRG_15!C23*100-100)</f>
        <v>-1.3619022820660973</v>
      </c>
      <c r="D23" s="81">
        <f>IF(DRG_15!D23=0,"-",DRG_16!D23/DRG_15!D23*100-100)</f>
        <v>3.6918458735182327</v>
      </c>
      <c r="E23" s="81">
        <f>IF(DRG_15!E23=0,"-",DRG_16!E23/DRG_15!E23*100-100)</f>
        <v>0.75064167970684537</v>
      </c>
      <c r="F23" s="81">
        <f>IF(DRG_15!F23=0,"-",DRG_16!F23/DRG_15!F23*100-100)</f>
        <v>15.216389968209114</v>
      </c>
      <c r="G23" s="81">
        <f>IF(DRG_16!G23=0,"-",DRG_16!G23/DRG_15!G23*100-100)</f>
        <v>-1.3360060130150799</v>
      </c>
      <c r="H23" s="29">
        <f>IF(DRG_15!I23=0,"-",DRG_16!I23/DRG_15!I23*100-100)</f>
        <v>1.0159171336192543</v>
      </c>
      <c r="J23" s="106"/>
      <c r="K23" s="109"/>
      <c r="L23" s="109"/>
      <c r="M23" s="109"/>
    </row>
    <row r="24" spans="1:13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88">
        <f>IF(DRG_15!C24=0,"-",DRG_16!C24/DRG_15!C24*100-100)</f>
        <v>2.6341045744116656</v>
      </c>
      <c r="D24" s="81">
        <f>IF(DRG_15!D24=0,"-",DRG_16!D24/DRG_15!D24*100-100)</f>
        <v>6.222423212779745</v>
      </c>
      <c r="E24" s="81">
        <f>IF(DRG_15!E24=0,"-",DRG_16!E24/DRG_15!E24*100-100)</f>
        <v>4.0174115581271366</v>
      </c>
      <c r="F24" s="81">
        <f>IF(DRG_15!F24=0,"-",DRG_16!F24/DRG_15!F24*100-100)</f>
        <v>11.110450600404235</v>
      </c>
      <c r="G24" s="81">
        <f>IF(DRG_16!G24=0,"-",DRG_16!G24/DRG_15!G24*100-100)</f>
        <v>2.7168738954279377</v>
      </c>
      <c r="H24" s="29">
        <f>IF(DRG_15!I24=0,"-",DRG_16!I24/DRG_15!I24*100-100)</f>
        <v>3.9250690767471212</v>
      </c>
      <c r="J24" s="106"/>
      <c r="K24" s="109"/>
      <c r="L24" s="109"/>
      <c r="M24" s="109"/>
    </row>
    <row r="25" spans="1:13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88">
        <f>IF(DRG_15!C25=0,"-",DRG_16!C25/DRG_15!C25*100-100)</f>
        <v>1.738036683357052</v>
      </c>
      <c r="D25" s="81">
        <f>IF(DRG_15!D25=0,"-",DRG_16!D25/DRG_15!D25*100-100)</f>
        <v>5.3148721428268431</v>
      </c>
      <c r="E25" s="81">
        <f>IF(DRG_15!E25=0,"-",DRG_16!E25/DRG_15!E25*100-100)</f>
        <v>3.0565813421522563</v>
      </c>
      <c r="F25" s="81">
        <f>IF(DRG_15!F25=0,"-",DRG_16!F25/DRG_15!F25*100-100)</f>
        <v>21.412215173242231</v>
      </c>
      <c r="G25" s="81">
        <f>IF(DRG_16!G25=0,"-",DRG_16!G25/DRG_15!G25*100-100)</f>
        <v>1.7011106069469548</v>
      </c>
      <c r="H25" s="29">
        <f>IF(DRG_15!I25=0,"-",DRG_16!I25/DRG_15!I25*100-100)</f>
        <v>2.6892765921321455</v>
      </c>
      <c r="J25" s="106"/>
      <c r="K25" s="109"/>
      <c r="L25" s="109"/>
      <c r="M25" s="109"/>
    </row>
    <row r="26" spans="1:13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88">
        <f>IF(DRG_15!C26=0,"-",DRG_16!C26/DRG_15!C26*100-100)</f>
        <v>-0.97978710428519378</v>
      </c>
      <c r="D26" s="81">
        <f>IF(DRG_15!D26=0,"-",DRG_16!D26/DRG_15!D26*100-100)</f>
        <v>9.0619440998706722</v>
      </c>
      <c r="E26" s="81">
        <f>IF(DRG_15!E26=0,"-",DRG_16!E26/DRG_15!E26*100-100)</f>
        <v>3.3811827021540211</v>
      </c>
      <c r="F26" s="81">
        <f>IF(DRG_15!F26=0,"-",DRG_16!F26/DRG_15!F26*100-100)</f>
        <v>17.717383782390712</v>
      </c>
      <c r="G26" s="81">
        <f>IF(DRG_16!G26=0,"-",DRG_16!G26/DRG_15!G26*100-100)</f>
        <v>-23.915421752624837</v>
      </c>
      <c r="H26" s="29">
        <f>IF(DRG_15!I26=0,"-",DRG_16!I26/DRG_15!I26*100-100)</f>
        <v>1.9308180896385494</v>
      </c>
      <c r="J26" s="106"/>
      <c r="K26" s="109"/>
      <c r="L26" s="109"/>
      <c r="M26" s="109"/>
    </row>
    <row r="27" spans="1:13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88">
        <f>IF(DRG_15!C27=0,"-",DRG_16!C27/DRG_15!C27*100-100)</f>
        <v>8.4393035038059452</v>
      </c>
      <c r="D27" s="81">
        <f>IF(DRG_15!D27=0,"-",DRG_16!D27/DRG_15!D27*100-100)</f>
        <v>3.0075718128959466</v>
      </c>
      <c r="E27" s="81">
        <f>IF(DRG_15!E27=0,"-",DRG_16!E27/DRG_15!E27*100-100)</f>
        <v>6.3588670418079971</v>
      </c>
      <c r="F27" s="81">
        <f>IF(DRG_15!F27=0,"-",DRG_16!F27/DRG_15!F27*100-100)</f>
        <v>-1.1026776689394069</v>
      </c>
      <c r="G27" s="81">
        <f>IF(DRG_16!G27=0,"-",DRG_16!G27/DRG_15!G27*100-100)</f>
        <v>113.79520035626402</v>
      </c>
      <c r="H27" s="29">
        <f>IF(DRG_15!I27=0,"-",DRG_16!I27/DRG_15!I27*100-100)</f>
        <v>6.5889807926714781</v>
      </c>
      <c r="J27" s="106"/>
      <c r="K27" s="109"/>
      <c r="L27" s="109"/>
      <c r="M27" s="109"/>
    </row>
    <row r="28" spans="1:13" ht="13.5" customHeight="1" x14ac:dyDescent="0.2">
      <c r="A28" s="13"/>
      <c r="B28" s="13" t="s">
        <v>14</v>
      </c>
      <c r="C28" s="83">
        <f>IF(DRG_15!C28=0,"-",DRG_16!C28/DRG_15!C28*100-100)</f>
        <v>-0.49698351756750014</v>
      </c>
      <c r="D28" s="83">
        <f>IF(DRG_15!D28=0,"-",DRG_16!D28/DRG_15!D28*100-100)</f>
        <v>4.9158475114420241</v>
      </c>
      <c r="E28" s="83">
        <f>IF(DRG_15!E28=0,"-",DRG_16!E28/DRG_15!E28*100-100)</f>
        <v>1.6948118205178986</v>
      </c>
      <c r="F28" s="83">
        <f>IF(DRG_15!F28=0,"-",DRG_16!F28/DRG_15!F28*100-100)</f>
        <v>15.678714750300514</v>
      </c>
      <c r="G28" s="83"/>
      <c r="H28" s="14">
        <f>IF(DRG_15!I28=0,"-",DRG_16!I28/DRG_15!I28*100-100)</f>
        <v>1.1744418674486354</v>
      </c>
      <c r="I28" s="107"/>
      <c r="J28" s="107"/>
      <c r="K28" s="107"/>
    </row>
    <row r="29" spans="1:13" ht="13.5" customHeight="1" x14ac:dyDescent="0.2">
      <c r="A29" s="37"/>
      <c r="B29" s="15"/>
      <c r="C29" s="16"/>
      <c r="D29" s="16"/>
      <c r="E29" s="16"/>
      <c r="F29" s="16"/>
      <c r="G29" s="16"/>
      <c r="H29" s="16"/>
      <c r="I29" s="107"/>
      <c r="J29" s="107"/>
      <c r="K29" s="107"/>
    </row>
    <row r="30" spans="1:13" ht="13.5" customHeight="1" x14ac:dyDescent="0.2">
      <c r="A30" s="37"/>
      <c r="B30" s="17" t="s">
        <v>28</v>
      </c>
      <c r="C30" s="18">
        <f>IF(DRG_15!C30=0,"-",DRG_16!C30/DRG_15!C30*100-100)</f>
        <v>-1.2968579598624359</v>
      </c>
      <c r="D30" s="18">
        <f>IF(DRG_15!D30=0,"-",DRG_16!D30/DRG_15!D30*100-100)</f>
        <v>1.837387868205127</v>
      </c>
      <c r="E30" s="18">
        <f>IF(DRG_15!E30=0,"-",DRG_16!E30/DRG_15!E30*100-100)</f>
        <v>-0.1502354450597494</v>
      </c>
      <c r="F30" s="18">
        <f>IF(DRG_15!F30=0,"-",DRG_16!F30/DRG_15!F30*100-100)</f>
        <v>11.068395437827405</v>
      </c>
      <c r="G30" s="18">
        <f>IF(DRG_15!G30=0,"-",DRG_16!G30/DRG_15!G30*100-100)</f>
        <v>-54.507816090914837</v>
      </c>
      <c r="H30" s="6">
        <f>IF(DRG_15!I30=0,"-",DRG_16!I30/DRG_15!I30*100-100)</f>
        <v>-0.29305881585560201</v>
      </c>
      <c r="I30" s="107"/>
      <c r="J30" s="47"/>
      <c r="K30" s="107"/>
    </row>
    <row r="31" spans="1:13" ht="13.5" customHeight="1" x14ac:dyDescent="0.2">
      <c r="A31" s="37"/>
      <c r="B31" s="19" t="s">
        <v>29</v>
      </c>
      <c r="C31" s="5">
        <f>IF(DRG_15!C31=0,"-",DRG_16!C31/DRG_15!C31*100-100)</f>
        <v>-0.38348416312162215</v>
      </c>
      <c r="D31" s="5">
        <f>IF(DRG_15!D31=0,"-",DRG_16!D31/DRG_15!D31*100-100)</f>
        <v>6.4332175582162705</v>
      </c>
      <c r="E31" s="5">
        <f>IF(DRG_15!E31=0,"-",DRG_16!E31/DRG_15!E31*100-100)</f>
        <v>2.2737848007228649</v>
      </c>
      <c r="F31" s="5">
        <f>IF(DRG_15!F31=0,"-",DRG_16!F31/DRG_15!F31*100-100)</f>
        <v>10.730288654502871</v>
      </c>
      <c r="G31" s="5">
        <f>IF(DRG_15!G31=0,"-",DRG_16!G31/DRG_15!G31*100-100)</f>
        <v>16.132285399710653</v>
      </c>
      <c r="H31" s="8">
        <f>IF(DRG_15!I31=0,"-",DRG_16!I31/DRG_15!I31*100-100)</f>
        <v>1.9098615847695299</v>
      </c>
      <c r="I31" s="107"/>
      <c r="J31" s="47"/>
      <c r="K31" s="107"/>
    </row>
    <row r="32" spans="1:13" ht="13.5" customHeight="1" x14ac:dyDescent="0.2">
      <c r="A32" s="37"/>
      <c r="B32" s="19" t="s">
        <v>30</v>
      </c>
      <c r="C32" s="5">
        <f>IF(DRG_15!C32=0,"-",DRG_16!C32/DRG_15!C32*100-100)</f>
        <v>-0.78076209096195726</v>
      </c>
      <c r="D32" s="5">
        <f>IF(DRG_15!D32=0,"-",DRG_16!D32/DRG_15!D32*100-100)</f>
        <v>7.4063464003032209</v>
      </c>
      <c r="E32" s="5">
        <f>IF(DRG_15!E32=0,"-",DRG_16!E32/DRG_15!E32*100-100)</f>
        <v>3.0364473497788111</v>
      </c>
      <c r="F32" s="5">
        <f>IF(DRG_15!F32=0,"-",DRG_16!F32/DRG_15!F32*100-100)</f>
        <v>26.212612100602172</v>
      </c>
      <c r="G32" s="5">
        <f>IF(DRG_15!G32=0,"-",DRG_16!G32/DRG_15!G32*100-100)</f>
        <v>-7.5301053209711313</v>
      </c>
      <c r="H32" s="8">
        <f>IF(DRG_15!I32=0,"-",DRG_16!I32/DRG_15!I32*100-100)</f>
        <v>1.6267198416400959</v>
      </c>
      <c r="I32" s="107"/>
      <c r="J32" s="47"/>
      <c r="K32" s="107"/>
    </row>
    <row r="33" spans="1:11" ht="13.5" customHeight="1" x14ac:dyDescent="0.2">
      <c r="A33" s="37"/>
      <c r="B33" s="19" t="s">
        <v>31</v>
      </c>
      <c r="C33" s="5">
        <f>IF(DRG_15!C33=0,"-",DRG_16!C33/DRG_15!C33*100-100)</f>
        <v>0.25051732588173081</v>
      </c>
      <c r="D33" s="5">
        <f>IF(DRG_15!D33=0,"-",DRG_16!D33/DRG_15!D33*100-100)</f>
        <v>4.5082259357122894</v>
      </c>
      <c r="E33" s="5">
        <f>IF(DRG_15!E33=0,"-",DRG_16!E33/DRG_15!E33*100-100)</f>
        <v>1.9919910193889336</v>
      </c>
      <c r="F33" s="5">
        <f>IF(DRG_15!F33=0,"-",DRG_16!F33/DRG_15!F33*100-100)</f>
        <v>15.348848759361914</v>
      </c>
      <c r="G33" s="5">
        <f>IF(DRG_15!G33=0,"-",DRG_16!G33/DRG_15!G33*100-100)</f>
        <v>0.20554856976680469</v>
      </c>
      <c r="H33" s="8">
        <f>IF(DRG_15!I33=0,"-",DRG_16!I33/DRG_15!I33*100-100)</f>
        <v>1.9002670137906534</v>
      </c>
      <c r="I33" s="107"/>
      <c r="J33" s="47"/>
      <c r="K33" s="107"/>
    </row>
    <row r="34" spans="1:11" ht="13.5" customHeight="1" x14ac:dyDescent="0.2">
      <c r="A34" s="38"/>
      <c r="B34" s="20" t="s">
        <v>32</v>
      </c>
      <c r="C34" s="10">
        <f>IF(DRG_15!C34=0,"-",DRG_16!C34/DRG_15!C34*100-100)</f>
        <v>1.5188068197888924</v>
      </c>
      <c r="D34" s="10">
        <f>IF(DRG_15!D34=0,"-",DRG_16!D34/DRG_15!D34*100-100)</f>
        <v>7.693762834241852</v>
      </c>
      <c r="E34" s="10">
        <f>IF(DRG_15!E34=0,"-",DRG_16!E34/DRG_15!E34*100-100)</f>
        <v>4.1217579016204553</v>
      </c>
      <c r="F34" s="10">
        <f>IF(DRG_15!F34=0,"-",DRG_16!F34/DRG_15!F34*100-100)</f>
        <v>13.837568125117201</v>
      </c>
      <c r="G34" s="10">
        <f>IF(DRG_15!G34=0,"-",DRG_16!G34/DRG_15!G34*100-100)</f>
        <v>16.914864848969231</v>
      </c>
      <c r="H34" s="21">
        <f>IF(DRG_15!I34=0,"-",DRG_16!I34/DRG_15!I34*100-100)</f>
        <v>3.1085552728295625</v>
      </c>
      <c r="I34" s="107"/>
      <c r="J34" s="47"/>
      <c r="K34" s="107"/>
    </row>
    <row r="35" spans="1:11" ht="13.5" customHeight="1" x14ac:dyDescent="0.2">
      <c r="A35" s="38"/>
      <c r="B35" s="13" t="s">
        <v>14</v>
      </c>
      <c r="C35" s="23">
        <f>IF(DRG_15!C35=0,"-",DRG_16!C35/DRG_15!C35*100-100)</f>
        <v>-0.49698351756750014</v>
      </c>
      <c r="D35" s="22">
        <f>IF(DRG_15!D35=0,"-",DRG_16!D35/DRG_15!D35*100-100)</f>
        <v>4.9158515164454855</v>
      </c>
      <c r="E35" s="22">
        <f>IF(DRG_15!E35=0,"-",DRG_16!E35/DRG_15!E35*100-100)</f>
        <v>1.6948118205178986</v>
      </c>
      <c r="F35" s="22">
        <f>IF(DRG_15!F35=0,"-",DRG_16!F35/DRG_15!F35*100-100)</f>
        <v>15.678714750300514</v>
      </c>
      <c r="G35" s="87">
        <f>IF(DRG_15!G35=0,"-",DRG_16!G35/DRG_15!G35*100-100)</f>
        <v>-100</v>
      </c>
      <c r="H35" s="23">
        <f>IF(DRG_15!I35=0,"-",DRG_16!I35/DRG_15!I35*100-100)</f>
        <v>1.1744418674486354</v>
      </c>
      <c r="I35" s="107"/>
      <c r="J35" s="107"/>
      <c r="K35" s="107"/>
    </row>
    <row r="36" spans="1:11" ht="13.5" customHeight="1" x14ac:dyDescent="0.2">
      <c r="I36" s="107"/>
      <c r="J36" s="107"/>
      <c r="K36" s="107"/>
    </row>
    <row r="37" spans="1:11" ht="13.5" customHeight="1" x14ac:dyDescent="0.2">
      <c r="I37" s="107"/>
      <c r="J37" s="107"/>
      <c r="K37" s="107"/>
    </row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2" orientation="landscape" r:id="rId1"/>
  <headerFooter alignWithMargins="0">
    <oddHeader>&amp;CSide &amp;P /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Normal="100" workbookViewId="0"/>
  </sheetViews>
  <sheetFormatPr defaultColWidth="8.85546875" defaultRowHeight="12" x14ac:dyDescent="0.2"/>
  <cols>
    <col min="1" max="1" width="8.5703125" style="140" customWidth="1"/>
    <col min="2" max="2" width="39.28515625" style="104" customWidth="1"/>
    <col min="3" max="8" width="10" style="104" customWidth="1"/>
    <col min="9" max="9" width="11.42578125" style="126" customWidth="1"/>
    <col min="10" max="10" width="9.42578125" style="104" customWidth="1"/>
    <col min="11" max="12" width="8.85546875" style="104"/>
    <col min="13" max="13" width="10.140625" style="104" bestFit="1" customWidth="1"/>
    <col min="14" max="16384" width="8.85546875" style="104"/>
  </cols>
  <sheetData>
    <row r="1" spans="1:15" ht="15.75" x14ac:dyDescent="0.25">
      <c r="A1" s="72" t="str">
        <f>'Skema1-7_2015'!A1</f>
        <v>Endelig version 31. januar 2018</v>
      </c>
    </row>
    <row r="2" spans="1:15" ht="13.5" customHeight="1" x14ac:dyDescent="0.2">
      <c r="A2" s="110" t="s">
        <v>182</v>
      </c>
    </row>
    <row r="3" spans="1:15" ht="13.5" customHeight="1" x14ac:dyDescent="0.2">
      <c r="A3" s="90" t="s">
        <v>41</v>
      </c>
    </row>
    <row r="4" spans="1:15" ht="33.75" customHeight="1" x14ac:dyDescent="0.2">
      <c r="A4" s="111"/>
      <c r="B4" s="112"/>
      <c r="C4" s="215" t="s">
        <v>17</v>
      </c>
      <c r="D4" s="216"/>
      <c r="E4" s="215" t="s">
        <v>42</v>
      </c>
      <c r="F4" s="216"/>
      <c r="G4" s="214" t="s">
        <v>183</v>
      </c>
      <c r="H4" s="214"/>
      <c r="I4" s="214"/>
      <c r="J4" s="113" t="s">
        <v>20</v>
      </c>
    </row>
    <row r="5" spans="1:15" ht="24" customHeight="1" x14ac:dyDescent="0.2">
      <c r="A5" s="114" t="s">
        <v>6</v>
      </c>
      <c r="B5" s="115" t="s">
        <v>0</v>
      </c>
      <c r="C5" s="144">
        <v>2015</v>
      </c>
      <c r="D5" s="143">
        <v>2016</v>
      </c>
      <c r="E5" s="147">
        <v>2015</v>
      </c>
      <c r="F5" s="143">
        <v>2016</v>
      </c>
      <c r="G5" s="117" t="s">
        <v>27</v>
      </c>
      <c r="H5" s="118" t="s">
        <v>18</v>
      </c>
      <c r="I5" s="191" t="s">
        <v>19</v>
      </c>
      <c r="J5" s="119">
        <v>2016</v>
      </c>
    </row>
    <row r="6" spans="1:15" ht="13.5" customHeight="1" x14ac:dyDescent="0.2">
      <c r="A6" s="4">
        <f>+'(skema1-7_2015 - 15pl)'!A5</f>
        <v>1301</v>
      </c>
      <c r="B6" s="4" t="str">
        <f>+'(skema1-7_2015 - 15pl)'!B5</f>
        <v>Rigshospitalet</v>
      </c>
      <c r="C6" s="120">
        <f>DRG_15!I5/1000</f>
        <v>7597.4153416564586</v>
      </c>
      <c r="D6" s="145">
        <f>DRG_16!I5/1000</f>
        <v>7620.3993225454024</v>
      </c>
      <c r="E6" s="121">
        <f>DTD_15!G5/1000</f>
        <v>7307.5292210254092</v>
      </c>
      <c r="F6" s="148">
        <f>(DTD_16!G5/1000)</f>
        <v>7342.9354758853324</v>
      </c>
      <c r="G6" s="122">
        <f>(D6/C6-1)*100</f>
        <v>0.30252368542922348</v>
      </c>
      <c r="H6" s="123">
        <f>(F6/E6-1)*100</f>
        <v>0.48451745848721028</v>
      </c>
      <c r="I6" s="124">
        <f>((D6/C6)/(F6/E6)-1)*100</f>
        <v>-0.18111623328755933</v>
      </c>
      <c r="J6" s="125">
        <f t="shared" ref="J6:J29" si="0">(D6/F6)/($D$29/$F$29)*100</f>
        <v>96.399602465598278</v>
      </c>
      <c r="K6" s="129"/>
      <c r="O6" s="131"/>
    </row>
    <row r="7" spans="1:15" ht="13.5" customHeight="1" x14ac:dyDescent="0.2">
      <c r="A7" s="7">
        <f>+'(skema1-7_2015 - 15pl)'!A6</f>
        <v>1309</v>
      </c>
      <c r="B7" s="7" t="str">
        <f>+'(skema1-7_2015 - 15pl)'!B6</f>
        <v>Bispebjerg og Frederiksberg Hospital</v>
      </c>
      <c r="C7" s="120">
        <f>DRG_15!I6/1000</f>
        <v>2607.9792011405134</v>
      </c>
      <c r="D7" s="145">
        <f>DRG_16!I6/1000</f>
        <v>2436.1139961614222</v>
      </c>
      <c r="E7" s="127">
        <f>DTD_15!G6/1000</f>
        <v>2456.6965101941628</v>
      </c>
      <c r="F7" s="145">
        <f>DTD_16!G6/1000</f>
        <v>2242.6532560498176</v>
      </c>
      <c r="G7" s="128">
        <f t="shared" ref="G7:G28" si="1">(D7/C7-1)*100</f>
        <v>-6.5899760590088956</v>
      </c>
      <c r="H7" s="129">
        <f t="shared" ref="H7:H28" si="2">(F7/E7-1)*100</f>
        <v>-8.7126453453311719</v>
      </c>
      <c r="I7" s="130">
        <f t="shared" ref="I7:I28" si="3">((D7/C7)/(F7/E7)-1)*100</f>
        <v>2.3252610335266377</v>
      </c>
      <c r="J7" s="125">
        <f t="shared" si="0"/>
        <v>100.90267992397256</v>
      </c>
      <c r="K7" s="129"/>
      <c r="O7" s="131"/>
    </row>
    <row r="8" spans="1:15" ht="13.5" customHeight="1" x14ac:dyDescent="0.2">
      <c r="A8" s="7">
        <f>+'(skema1-7_2015 - 15pl)'!A7</f>
        <v>1330</v>
      </c>
      <c r="B8" s="7" t="str">
        <f>+'(skema1-7_2015 - 15pl)'!B7</f>
        <v>Amager og Hvidovre Hospital</v>
      </c>
      <c r="C8" s="120">
        <f>DRG_15!I7/1000</f>
        <v>3058.4385308527822</v>
      </c>
      <c r="D8" s="145">
        <f>DRG_16!I7/1000</f>
        <v>3234.377234011336</v>
      </c>
      <c r="E8" s="127">
        <f>DTD_15!G7/1000</f>
        <v>2845.0465734977274</v>
      </c>
      <c r="F8" s="145">
        <f>DTD_16!G7/1000</f>
        <v>2846.1888944828625</v>
      </c>
      <c r="G8" s="128">
        <f t="shared" si="1"/>
        <v>5.7525662649004383</v>
      </c>
      <c r="H8" s="129">
        <f t="shared" si="2"/>
        <v>4.0151222682127674E-2</v>
      </c>
      <c r="I8" s="130">
        <f t="shared" si="3"/>
        <v>5.7101223582748162</v>
      </c>
      <c r="J8" s="125">
        <f t="shared" si="0"/>
        <v>105.55873495687464</v>
      </c>
      <c r="K8" s="129"/>
      <c r="O8" s="131"/>
    </row>
    <row r="9" spans="1:15" ht="13.5" customHeight="1" x14ac:dyDescent="0.2">
      <c r="A9" s="7">
        <f>+'(skema1-7_2015 - 15pl)'!A8</f>
        <v>1516</v>
      </c>
      <c r="B9" s="7" t="str">
        <f>+'(skema1-7_2015 - 15pl)'!B8</f>
        <v>Herlev og Gentofte Hospital</v>
      </c>
      <c r="C9" s="120">
        <f>DRG_15!I8/1000</f>
        <v>4923.5941262474389</v>
      </c>
      <c r="D9" s="145">
        <f>DRG_16!I8/1000</f>
        <v>4724.1326472942837</v>
      </c>
      <c r="E9" s="127">
        <f>DTD_15!G8/1000</f>
        <v>4276.097186228616</v>
      </c>
      <c r="F9" s="145">
        <f>DTD_16!G8/1000</f>
        <v>4468.7809243502061</v>
      </c>
      <c r="G9" s="128">
        <f t="shared" si="1"/>
        <v>-4.0511356915029939</v>
      </c>
      <c r="H9" s="129">
        <f t="shared" si="2"/>
        <v>4.5060654547828705</v>
      </c>
      <c r="I9" s="130">
        <f t="shared" si="3"/>
        <v>-8.1882339642653115</v>
      </c>
      <c r="J9" s="125">
        <f t="shared" si="0"/>
        <v>98.197457701025442</v>
      </c>
      <c r="K9" s="126"/>
      <c r="O9" s="131"/>
    </row>
    <row r="10" spans="1:15" ht="13.5" customHeight="1" x14ac:dyDescent="0.2">
      <c r="A10" s="7">
        <f>+'(skema1-7_2015 - 15pl)'!A9</f>
        <v>2000</v>
      </c>
      <c r="B10" s="7" t="str">
        <f>+'(skema1-7_2015 - 15pl)'!B9</f>
        <v>Nordsjællands Hospital</v>
      </c>
      <c r="C10" s="120">
        <f>DRG_15!I9/1000</f>
        <v>2553.8302270298409</v>
      </c>
      <c r="D10" s="145">
        <f>DRG_16!I9/1000</f>
        <v>2654.4449092390819</v>
      </c>
      <c r="E10" s="127">
        <f>DTD_15!G9/1000</f>
        <v>2324.338510537556</v>
      </c>
      <c r="F10" s="145">
        <f>DTD_16!G9/1000</f>
        <v>2291.4790890234826</v>
      </c>
      <c r="G10" s="128">
        <f t="shared" si="1"/>
        <v>3.939756102200187</v>
      </c>
      <c r="H10" s="129">
        <f t="shared" si="2"/>
        <v>-1.4137106692980739</v>
      </c>
      <c r="I10" s="130">
        <f t="shared" si="3"/>
        <v>5.4302345770823823</v>
      </c>
      <c r="J10" s="125">
        <f t="shared" si="0"/>
        <v>107.60316436040517</v>
      </c>
      <c r="K10" s="126"/>
      <c r="O10" s="131"/>
    </row>
    <row r="11" spans="1:15" ht="13.5" customHeight="1" x14ac:dyDescent="0.2">
      <c r="A11" s="7">
        <f>+'(skema1-7_2015 - 15pl)'!A10</f>
        <v>4001</v>
      </c>
      <c r="B11" s="7" t="str">
        <f>+'(skema1-7_2015 - 15pl)'!B10</f>
        <v>Bornholms Hospital</v>
      </c>
      <c r="C11" s="120">
        <f>DRG_15!I10/1000</f>
        <v>337.82831512271207</v>
      </c>
      <c r="D11" s="145">
        <f>DRG_16!I10/1000</f>
        <v>347.84351372937988</v>
      </c>
      <c r="E11" s="127">
        <f>DTD_15!G10/1000</f>
        <v>377.65751581105934</v>
      </c>
      <c r="F11" s="145">
        <f>DTD_16!G10/1000</f>
        <v>391.42703561509518</v>
      </c>
      <c r="G11" s="128">
        <f t="shared" si="1"/>
        <v>2.9645823509583336</v>
      </c>
      <c r="H11" s="129">
        <f t="shared" si="2"/>
        <v>3.6460335694536106</v>
      </c>
      <c r="I11" s="130">
        <f t="shared" si="3"/>
        <v>-0.65747930241694119</v>
      </c>
      <c r="J11" s="125">
        <f t="shared" si="0"/>
        <v>82.546814010778036</v>
      </c>
      <c r="K11" s="126"/>
      <c r="O11" s="131"/>
    </row>
    <row r="12" spans="1:15" ht="13.5" customHeight="1" x14ac:dyDescent="0.2">
      <c r="A12" s="7">
        <f>+'(skema1-7_2015 - 15pl)'!A11</f>
        <v>3810</v>
      </c>
      <c r="B12" s="7" t="str">
        <f>+'(skema1-7_2015 - 15pl)'!B11</f>
        <v>Sjællands Universitetshospital</v>
      </c>
      <c r="C12" s="120">
        <f>DRG_15!I11/1000</f>
        <v>3063.0857082810539</v>
      </c>
      <c r="D12" s="145">
        <f>DRG_16!I11/1000</f>
        <v>3492.975203730934</v>
      </c>
      <c r="E12" s="127">
        <f>DTD_15!G11/1000</f>
        <v>2704.0413304973536</v>
      </c>
      <c r="F12" s="145">
        <f>DTD_16!G11/1000</f>
        <v>2948.9715437725645</v>
      </c>
      <c r="G12" s="128">
        <f t="shared" si="1"/>
        <v>14.034523888367655</v>
      </c>
      <c r="H12" s="129">
        <f t="shared" si="2"/>
        <v>9.0579315675682004</v>
      </c>
      <c r="I12" s="130">
        <f t="shared" si="3"/>
        <v>4.563255738731975</v>
      </c>
      <c r="J12" s="125">
        <f t="shared" si="0"/>
        <v>110.02519475968646</v>
      </c>
      <c r="K12" s="126"/>
      <c r="O12" s="131"/>
    </row>
    <row r="13" spans="1:15" ht="13.5" customHeight="1" x14ac:dyDescent="0.2">
      <c r="A13" s="7">
        <f>+'(skema1-7_2015 - 15pl)'!A12</f>
        <v>3820</v>
      </c>
      <c r="B13" s="7" t="str">
        <f>+'(skema1-7_2015 - 15pl)'!B12</f>
        <v>Holbæk Sygehus</v>
      </c>
      <c r="C13" s="120">
        <f>DRG_15!I12/1000</f>
        <v>1177.4530559884643</v>
      </c>
      <c r="D13" s="145">
        <f>DRG_16!I12/1000</f>
        <v>1277.3596647582369</v>
      </c>
      <c r="E13" s="127">
        <f>DTD_15!G12/1000</f>
        <v>1071.7587402213567</v>
      </c>
      <c r="F13" s="145">
        <f>DTD_16!G12/1000</f>
        <v>1158.9639157453887</v>
      </c>
      <c r="G13" s="128">
        <f t="shared" si="1"/>
        <v>8.4849759624515677</v>
      </c>
      <c r="H13" s="129">
        <f t="shared" si="2"/>
        <v>8.13664234788709</v>
      </c>
      <c r="I13" s="130">
        <f t="shared" si="3"/>
        <v>0.32212357162324512</v>
      </c>
      <c r="J13" s="125">
        <f t="shared" si="0"/>
        <v>102.37891179574112</v>
      </c>
      <c r="K13" s="126"/>
      <c r="O13" s="131"/>
    </row>
    <row r="14" spans="1:15" ht="13.5" customHeight="1" x14ac:dyDescent="0.2">
      <c r="A14" s="7">
        <f>+'(skema1-7_2015 - 15pl)'!A13</f>
        <v>3830</v>
      </c>
      <c r="B14" s="7" t="str">
        <f>+'(skema1-7_2015 - 15pl)'!B13</f>
        <v>Næstved, Slagelse og Ringsted sygehuse</v>
      </c>
      <c r="C14" s="120">
        <f>DRG_15!I13/1000</f>
        <v>2510.3074495103283</v>
      </c>
      <c r="D14" s="145">
        <f>DRG_16!I13/1000</f>
        <v>2073.1337182108728</v>
      </c>
      <c r="E14" s="127">
        <f>DTD_15!G13/1000</f>
        <v>2323.5300213066357</v>
      </c>
      <c r="F14" s="145">
        <f>DTD_16!G13/1000</f>
        <v>2010.9316670302685</v>
      </c>
      <c r="G14" s="128">
        <f t="shared" si="1"/>
        <v>-17.415146952805827</v>
      </c>
      <c r="H14" s="129">
        <f t="shared" si="2"/>
        <v>-13.45359652812137</v>
      </c>
      <c r="I14" s="130">
        <f t="shared" si="3"/>
        <v>-4.5773715206683052</v>
      </c>
      <c r="J14" s="125">
        <f t="shared" si="0"/>
        <v>95.762886289264188</v>
      </c>
      <c r="K14" s="126"/>
      <c r="O14" s="131"/>
    </row>
    <row r="15" spans="1:15" ht="13.5" customHeight="1" x14ac:dyDescent="0.2">
      <c r="A15" s="7">
        <f>+'(skema1-7_2015 - 15pl)'!A14</f>
        <v>3840</v>
      </c>
      <c r="B15" s="7" t="str">
        <f>+'(skema1-7_2015 - 15pl)'!B14</f>
        <v>Nykøbing Sygehus</v>
      </c>
      <c r="C15" s="120">
        <f>DRG_15!I14/1000</f>
        <v>825.53759861660876</v>
      </c>
      <c r="D15" s="145">
        <f>DRG_16!I14/1000</f>
        <v>877.6136696440692</v>
      </c>
      <c r="E15" s="127">
        <f>DTD_15!G14/1000</f>
        <v>855.59653339985277</v>
      </c>
      <c r="F15" s="145">
        <f>DTD_16!G14/1000</f>
        <v>901.13452033936221</v>
      </c>
      <c r="G15" s="128">
        <f t="shared" si="1"/>
        <v>6.308140430517839</v>
      </c>
      <c r="H15" s="129">
        <f t="shared" si="2"/>
        <v>5.3223669290193065</v>
      </c>
      <c r="I15" s="130">
        <f t="shared" si="3"/>
        <v>0.93595836311093361</v>
      </c>
      <c r="J15" s="125">
        <f t="shared" si="0"/>
        <v>90.465081240965787</v>
      </c>
      <c r="K15" s="126"/>
      <c r="O15" s="131"/>
    </row>
    <row r="16" spans="1:15" ht="13.5" customHeight="1" x14ac:dyDescent="0.2">
      <c r="A16" s="7">
        <f>+'(skema1-7_2015 - 15pl)'!A15</f>
        <v>4202</v>
      </c>
      <c r="B16" s="7" t="str">
        <f>+'(skema1-7_2015 - 15pl)'!B15</f>
        <v>Odense Universitetshospital</v>
      </c>
      <c r="C16" s="120">
        <f>DRG_15!I15/1000</f>
        <v>6111.2221822163838</v>
      </c>
      <c r="D16" s="145">
        <f>DRG_16!I15/1000</f>
        <v>6239.6839650790389</v>
      </c>
      <c r="E16" s="127">
        <f>DTD_15!G15/1000</f>
        <v>5792.4116946472614</v>
      </c>
      <c r="F16" s="145">
        <f>DTD_16!G15/1000</f>
        <v>5686.8361354188155</v>
      </c>
      <c r="G16" s="128">
        <f t="shared" si="1"/>
        <v>2.1020636958099415</v>
      </c>
      <c r="H16" s="129">
        <f t="shared" si="2"/>
        <v>-1.8226528912992812</v>
      </c>
      <c r="I16" s="130">
        <f t="shared" si="3"/>
        <v>3.9975785684693843</v>
      </c>
      <c r="J16" s="125">
        <f t="shared" si="0"/>
        <v>101.91992711200091</v>
      </c>
      <c r="K16" s="126"/>
      <c r="O16" s="131"/>
    </row>
    <row r="17" spans="1:15" ht="13.5" customHeight="1" x14ac:dyDescent="0.2">
      <c r="A17" s="7">
        <f>+'(skema1-7_2015 - 15pl)'!A16</f>
        <v>5000</v>
      </c>
      <c r="B17" s="7" t="str">
        <f>+'(skema1-7_2015 - 15pl)'!B16</f>
        <v>Sygehus Sønderjylland</v>
      </c>
      <c r="C17" s="120">
        <f>DRG_15!I16/1000</f>
        <v>1723.9000440849502</v>
      </c>
      <c r="D17" s="145">
        <f>DRG_16!I16/1000</f>
        <v>1750.157035883358</v>
      </c>
      <c r="E17" s="127">
        <f>DTD_15!G16/1000</f>
        <v>1606.2882649953438</v>
      </c>
      <c r="F17" s="145">
        <f>DTD_16!G16/1000</f>
        <v>1627.377968803542</v>
      </c>
      <c r="G17" s="128">
        <f t="shared" si="1"/>
        <v>1.5231156753259034</v>
      </c>
      <c r="H17" s="129">
        <f t="shared" si="2"/>
        <v>1.3129463912418871</v>
      </c>
      <c r="I17" s="130">
        <f t="shared" si="3"/>
        <v>0.20744563411709827</v>
      </c>
      <c r="J17" s="125">
        <f t="shared" si="0"/>
        <v>99.89777402713996</v>
      </c>
      <c r="K17" s="126"/>
      <c r="O17" s="131"/>
    </row>
    <row r="18" spans="1:15" ht="13.5" customHeight="1" x14ac:dyDescent="0.2">
      <c r="A18" s="7">
        <f>+'(skema1-7_2015 - 15pl)'!A17</f>
        <v>5501</v>
      </c>
      <c r="B18" s="7" t="str">
        <f>+'(skema1-7_2015 - 15pl)'!B17</f>
        <v>Sydvestjysk Sygehus</v>
      </c>
      <c r="C18" s="120">
        <f>DRG_15!I17/1000</f>
        <v>1747.0479697344472</v>
      </c>
      <c r="D18" s="145">
        <f>DRG_16!I17/1000</f>
        <v>1803.6419692478539</v>
      </c>
      <c r="E18" s="127">
        <f>DTD_15!G17/1000</f>
        <v>1615.3674404910716</v>
      </c>
      <c r="F18" s="145">
        <f>DTD_16!G17/1000</f>
        <v>1636.9648438607942</v>
      </c>
      <c r="G18" s="128">
        <f t="shared" si="1"/>
        <v>3.2394073027089743</v>
      </c>
      <c r="H18" s="129">
        <f t="shared" si="2"/>
        <v>1.3369963284116215</v>
      </c>
      <c r="I18" s="130">
        <f t="shared" si="3"/>
        <v>1.8773113899409832</v>
      </c>
      <c r="J18" s="125">
        <f t="shared" si="0"/>
        <v>102.34772774391475</v>
      </c>
      <c r="K18" s="126"/>
      <c r="O18" s="131"/>
    </row>
    <row r="19" spans="1:15" ht="13.5" customHeight="1" x14ac:dyDescent="0.2">
      <c r="A19" s="7">
        <f>+'(skema1-7_2015 - 15pl)'!A18</f>
        <v>6007</v>
      </c>
      <c r="B19" s="7" t="str">
        <f>+'(skema1-7_2015 - 15pl)'!B18</f>
        <v>Fredericia og Kolding sygehuse</v>
      </c>
      <c r="C19" s="120">
        <f>DRG_15!I18/1000</f>
        <v>1418.2676903082061</v>
      </c>
      <c r="D19" s="145">
        <f>DRG_16!I18/1000</f>
        <v>1433.9539330301129</v>
      </c>
      <c r="E19" s="127">
        <f>DTD_15!G18/1000</f>
        <v>1361.8044420556585</v>
      </c>
      <c r="F19" s="145">
        <f>DTD_16!G18/1000</f>
        <v>1355.0558987801464</v>
      </c>
      <c r="G19" s="128">
        <f t="shared" si="1"/>
        <v>1.1060142474583312</v>
      </c>
      <c r="H19" s="129">
        <f t="shared" si="2"/>
        <v>-0.49555891191873647</v>
      </c>
      <c r="I19" s="130">
        <f t="shared" si="3"/>
        <v>1.6095494249943609</v>
      </c>
      <c r="J19" s="125">
        <f t="shared" si="0"/>
        <v>98.298120397106771</v>
      </c>
      <c r="K19" s="126"/>
      <c r="O19" s="131"/>
    </row>
    <row r="20" spans="1:15" ht="13.5" customHeight="1" x14ac:dyDescent="0.2">
      <c r="A20" s="7">
        <f>+'(skema1-7_2015 - 15pl)'!A19</f>
        <v>6008</v>
      </c>
      <c r="B20" s="7" t="str">
        <f>+'(skema1-7_2015 - 15pl)'!B19</f>
        <v>Vejle-Give-Middelfart sygehuse</v>
      </c>
      <c r="C20" s="120">
        <f>DRG_15!I19/1000</f>
        <v>1627.707620180272</v>
      </c>
      <c r="D20" s="145">
        <f>DRG_16!I19/1000</f>
        <v>1603.8572051640456</v>
      </c>
      <c r="E20" s="127">
        <f>DTD_15!G19/1000</f>
        <v>1396.9334388880409</v>
      </c>
      <c r="F20" s="145">
        <f>DTD_16!G19/1000</f>
        <v>1370.7698261562562</v>
      </c>
      <c r="G20" s="128">
        <f t="shared" si="1"/>
        <v>-1.4652763629370291</v>
      </c>
      <c r="H20" s="129">
        <f t="shared" si="2"/>
        <v>-1.872931952478063</v>
      </c>
      <c r="I20" s="130">
        <f t="shared" si="3"/>
        <v>0.41543643120327545</v>
      </c>
      <c r="J20" s="125">
        <f t="shared" si="0"/>
        <v>108.68469442577178</v>
      </c>
      <c r="K20" s="126"/>
      <c r="O20" s="131"/>
    </row>
    <row r="21" spans="1:15" ht="13.5" customHeight="1" x14ac:dyDescent="0.2">
      <c r="A21" s="7">
        <f>+'(skema1-7_2015 - 15pl)'!A20</f>
        <v>6013</v>
      </c>
      <c r="B21" s="7" t="str">
        <f>+'(skema1-7_2015 - 15pl)'!B20</f>
        <v>De Vestdanske Friklinikker, Give</v>
      </c>
      <c r="C21" s="120">
        <f>DRG_15!I20/1000</f>
        <v>119.59279512860898</v>
      </c>
      <c r="D21" s="145">
        <f>DRG_16!I20/1000</f>
        <v>123.81418156179612</v>
      </c>
      <c r="E21" s="127">
        <f>DTD_15!G20/1000</f>
        <v>79.653238657599999</v>
      </c>
      <c r="F21" s="145">
        <f>DTD_16!G20/1000</f>
        <v>80.788365888000001</v>
      </c>
      <c r="G21" s="128">
        <f t="shared" si="1"/>
        <v>3.529799958808133</v>
      </c>
      <c r="H21" s="129">
        <f t="shared" si="2"/>
        <v>1.4250860976030122</v>
      </c>
      <c r="I21" s="130">
        <f t="shared" si="3"/>
        <v>2.0751413108781813</v>
      </c>
      <c r="J21" s="125">
        <f t="shared" si="0"/>
        <v>142.36026661735133</v>
      </c>
      <c r="K21" s="126"/>
      <c r="O21" s="131"/>
    </row>
    <row r="22" spans="1:15" ht="13.5" customHeight="1" x14ac:dyDescent="0.2">
      <c r="A22" s="7">
        <f>+'(skema1-7_2015 - 15pl)'!A21</f>
        <v>6006</v>
      </c>
      <c r="B22" s="7" t="str">
        <f>+'(skema1-7_2015 - 15pl)'!B21</f>
        <v>Hospitalenheden Horsens</v>
      </c>
      <c r="C22" s="120">
        <f>DRG_15!I21/1000</f>
        <v>1101.0794410800095</v>
      </c>
      <c r="D22" s="145">
        <f>DRG_16!I21/1000</f>
        <v>1128.6750277667059</v>
      </c>
      <c r="E22" s="127">
        <f>DTD_15!G21/1000</f>
        <v>951.98966314804068</v>
      </c>
      <c r="F22" s="145">
        <f>DTD_16!G21/1000</f>
        <v>980.31656652354741</v>
      </c>
      <c r="G22" s="128">
        <f t="shared" si="1"/>
        <v>2.5062303097430405</v>
      </c>
      <c r="H22" s="129">
        <f t="shared" si="2"/>
        <v>2.975547369058118</v>
      </c>
      <c r="I22" s="130">
        <f t="shared" si="3"/>
        <v>-0.45575582874356479</v>
      </c>
      <c r="J22" s="125">
        <f t="shared" si="0"/>
        <v>106.94729377842889</v>
      </c>
      <c r="K22" s="126"/>
      <c r="O22" s="131"/>
    </row>
    <row r="23" spans="1:15" ht="13.5" customHeight="1" x14ac:dyDescent="0.2">
      <c r="A23" s="7">
        <f>+'(skema1-7_2015 - 15pl)'!A22</f>
        <v>6650</v>
      </c>
      <c r="B23" s="7" t="str">
        <f>+'(skema1-7_2015 - 15pl)'!B22</f>
        <v>Hospitalsenheden Vest</v>
      </c>
      <c r="C23" s="120">
        <f>DRG_15!I22/1000</f>
        <v>2182.4738601798012</v>
      </c>
      <c r="D23" s="145">
        <f>DRG_16!I22/1000</f>
        <v>2224.68436709652</v>
      </c>
      <c r="E23" s="127">
        <f>DTD_15!G22/1000</f>
        <v>1982.7708957626098</v>
      </c>
      <c r="F23" s="145">
        <f>DTD_16!G22/1000</f>
        <v>1996.401006023432</v>
      </c>
      <c r="G23" s="128">
        <f t="shared" si="1"/>
        <v>1.9340670093176415</v>
      </c>
      <c r="H23" s="129">
        <f t="shared" si="2"/>
        <v>0.68742739213851767</v>
      </c>
      <c r="I23" s="130">
        <f t="shared" si="3"/>
        <v>1.2381283835209533</v>
      </c>
      <c r="J23" s="125">
        <f t="shared" si="0"/>
        <v>103.51132031597507</v>
      </c>
      <c r="K23" s="126"/>
      <c r="O23" s="131"/>
    </row>
    <row r="24" spans="1:15" ht="13.5" customHeight="1" x14ac:dyDescent="0.2">
      <c r="A24" s="7">
        <f>+'(skema1-7_2015 - 15pl)'!A23</f>
        <v>6620</v>
      </c>
      <c r="B24" s="7" t="str">
        <f>+'(skema1-7_2015 - 15pl)'!B23</f>
        <v>Aarhus Universitetshospital</v>
      </c>
      <c r="C24" s="120">
        <f>DRG_15!I23/1000</f>
        <v>5938.6345725793426</v>
      </c>
      <c r="D24" s="145">
        <f>DRG_16!I23/1000</f>
        <v>5998.9661787052128</v>
      </c>
      <c r="E24" s="127">
        <f>DTD_15!G23/1000</f>
        <v>5947.8104214392724</v>
      </c>
      <c r="F24" s="145">
        <f>DTD_16!G23/1000</f>
        <v>5980.9985818515597</v>
      </c>
      <c r="G24" s="128">
        <f t="shared" si="1"/>
        <v>1.0159171336192596</v>
      </c>
      <c r="H24" s="129">
        <f t="shared" si="2"/>
        <v>0.55798954675250201</v>
      </c>
      <c r="I24" s="130">
        <f t="shared" si="3"/>
        <v>0.45538657736772237</v>
      </c>
      <c r="J24" s="125">
        <f t="shared" si="0"/>
        <v>93.168679290727908</v>
      </c>
      <c r="K24" s="126"/>
      <c r="O24" s="131"/>
    </row>
    <row r="25" spans="1:15" ht="13.5" customHeight="1" x14ac:dyDescent="0.2">
      <c r="A25" s="7">
        <f>+'(skema1-7_2015 - 15pl)'!A24</f>
        <v>7005</v>
      </c>
      <c r="B25" s="7" t="str">
        <f>+'(skema1-7_2015 - 15pl)'!B24</f>
        <v>Regionshospitalet Randers</v>
      </c>
      <c r="C25" s="120">
        <f>DRG_15!I24/1000</f>
        <v>1253.8677852195838</v>
      </c>
      <c r="D25" s="145">
        <f>DRG_16!I24/1000</f>
        <v>1303.0829619205317</v>
      </c>
      <c r="E25" s="127">
        <f>DTD_15!G24/1000</f>
        <v>1063.8013254571845</v>
      </c>
      <c r="F25" s="145">
        <f>DTD_16!G24/1000</f>
        <v>1123.2002346899978</v>
      </c>
      <c r="G25" s="128">
        <f t="shared" si="1"/>
        <v>3.925069076747123</v>
      </c>
      <c r="H25" s="129">
        <f t="shared" si="2"/>
        <v>5.5836468531645922</v>
      </c>
      <c r="I25" s="130">
        <f t="shared" si="3"/>
        <v>-1.5708661576390281</v>
      </c>
      <c r="J25" s="125">
        <f t="shared" si="0"/>
        <v>107.76608504787914</v>
      </c>
      <c r="K25" s="126"/>
      <c r="O25" s="131"/>
    </row>
    <row r="26" spans="1:15" ht="13.5" customHeight="1" x14ac:dyDescent="0.2">
      <c r="A26" s="7">
        <f>+'(skema1-7_2015 - 15pl)'!A25</f>
        <v>6630</v>
      </c>
      <c r="B26" s="7" t="str">
        <f>+'(skema1-7_2015 - 15pl)'!B25</f>
        <v>Hospitalsenhed Midt</v>
      </c>
      <c r="C26" s="120">
        <f>DRG_15!I25/1000</f>
        <v>2499.3554129799604</v>
      </c>
      <c r="D26" s="145">
        <f>DRG_16!I25/1000</f>
        <v>2566.5699930554183</v>
      </c>
      <c r="E26" s="127">
        <f>DTD_15!G25/1000</f>
        <v>2384.840039270784</v>
      </c>
      <c r="F26" s="145">
        <f>DTD_16!G25/1000</f>
        <v>2357.460992717432</v>
      </c>
      <c r="G26" s="128">
        <f t="shared" si="1"/>
        <v>2.6892765921321393</v>
      </c>
      <c r="H26" s="129">
        <f t="shared" si="2"/>
        <v>-1.1480454077634428</v>
      </c>
      <c r="I26" s="130">
        <f t="shared" si="3"/>
        <v>3.8818878349188957</v>
      </c>
      <c r="J26" s="125">
        <f t="shared" si="0"/>
        <v>101.1290254545786</v>
      </c>
      <c r="K26" s="126"/>
      <c r="O26" s="131"/>
    </row>
    <row r="27" spans="1:15" ht="13.5" customHeight="1" x14ac:dyDescent="0.2">
      <c r="A27" s="7">
        <f>+'(skema1-7_2015 - 15pl)'!A26</f>
        <v>8001</v>
      </c>
      <c r="B27" s="7" t="str">
        <f>+'(skema1-7_2015 - 15pl)'!B26</f>
        <v>Aalborg Universitetshospital</v>
      </c>
      <c r="C27" s="120">
        <f>DRG_15!I26/1000</f>
        <v>3931.9965450167606</v>
      </c>
      <c r="D27" s="145">
        <f>DRG_16!I26/1000</f>
        <v>4007.9162455919068</v>
      </c>
      <c r="E27" s="127">
        <f>DTD_15!G26/1000</f>
        <v>3893.2358113813593</v>
      </c>
      <c r="F27" s="145">
        <f>DTD_16!G26/1000</f>
        <v>3926.3948540000001</v>
      </c>
      <c r="G27" s="128">
        <f t="shared" si="1"/>
        <v>1.9308180896385529</v>
      </c>
      <c r="H27" s="129">
        <f t="shared" si="2"/>
        <v>0.85170907248168781</v>
      </c>
      <c r="I27" s="130">
        <f t="shared" si="3"/>
        <v>1.0699957661414627</v>
      </c>
      <c r="J27" s="125">
        <f t="shared" si="0"/>
        <v>94.818240212386428</v>
      </c>
      <c r="K27" s="126"/>
      <c r="O27" s="131"/>
    </row>
    <row r="28" spans="1:15" ht="13.5" customHeight="1" x14ac:dyDescent="0.2">
      <c r="A28" s="7">
        <f>+'(skema1-7_2015 - 15pl)'!A27</f>
        <v>8003</v>
      </c>
      <c r="B28" s="7" t="str">
        <f>+'(skema1-7_2015 - 15pl)'!B27</f>
        <v>Regionshospitalet Nordjylland</v>
      </c>
      <c r="C28" s="120">
        <f>DRG_15!I27/1000</f>
        <v>1330.543782317495</v>
      </c>
      <c r="D28" s="145">
        <f>DRG_16!I27/1000</f>
        <v>1418.2130565724792</v>
      </c>
      <c r="E28" s="127">
        <f>DTD_15!G27/1000</f>
        <v>1339.959443035202</v>
      </c>
      <c r="F28" s="145">
        <f>DTD_16!G27/1000</f>
        <v>1325.0656609999999</v>
      </c>
      <c r="G28" s="128">
        <f t="shared" si="1"/>
        <v>6.5889807926714727</v>
      </c>
      <c r="H28" s="129">
        <f t="shared" si="2"/>
        <v>-1.1115099126780659</v>
      </c>
      <c r="I28" s="130">
        <f t="shared" si="3"/>
        <v>7.7870444766117375</v>
      </c>
      <c r="J28" s="125">
        <f t="shared" si="0"/>
        <v>99.419438294043218</v>
      </c>
      <c r="K28" s="126"/>
      <c r="O28" s="131"/>
    </row>
    <row r="29" spans="1:15" ht="13.5" customHeight="1" x14ac:dyDescent="0.2">
      <c r="A29" s="13"/>
      <c r="B29" s="13" t="s">
        <v>14</v>
      </c>
      <c r="C29" s="132">
        <f>SUM(C6:C28)</f>
        <v>59641.159255472005</v>
      </c>
      <c r="D29" s="146">
        <f>SUM(D6:D28)</f>
        <v>60341.609999999993</v>
      </c>
      <c r="E29" s="134">
        <f>SUM(E6:E28)</f>
        <v>55959.158261949167</v>
      </c>
      <c r="F29" s="146">
        <f>SUM(F6:F28)</f>
        <v>56051.097258007896</v>
      </c>
      <c r="G29" s="135">
        <f>(D29/C29-1)*100</f>
        <v>1.174441867448639</v>
      </c>
      <c r="H29" s="136">
        <f>(F29/E29-1)*100</f>
        <v>0.16429660294094983</v>
      </c>
      <c r="I29" s="137">
        <f>((D29/C29)/(F29/E29)-1)*100</f>
        <v>1.0084883524036359</v>
      </c>
      <c r="J29" s="154">
        <f t="shared" si="0"/>
        <v>100</v>
      </c>
      <c r="K29" s="126"/>
      <c r="O29" s="131"/>
    </row>
    <row r="30" spans="1:15" ht="13.5" customHeight="1" x14ac:dyDescent="0.2">
      <c r="A30" s="139"/>
      <c r="B30" s="107"/>
      <c r="C30" s="107"/>
      <c r="D30" s="107"/>
      <c r="E30" s="107"/>
      <c r="F30" s="107"/>
      <c r="G30" s="107"/>
      <c r="H30" s="107"/>
      <c r="I30" s="137"/>
      <c r="J30" s="107"/>
    </row>
    <row r="31" spans="1:15" ht="33.75" customHeight="1" x14ac:dyDescent="0.2">
      <c r="A31" s="139"/>
      <c r="B31" s="112"/>
      <c r="C31" s="217" t="s">
        <v>17</v>
      </c>
      <c r="D31" s="216"/>
      <c r="E31" s="215" t="s">
        <v>42</v>
      </c>
      <c r="F31" s="216"/>
      <c r="G31" s="214" t="s">
        <v>183</v>
      </c>
      <c r="H31" s="214"/>
      <c r="I31" s="214"/>
      <c r="J31" s="113" t="s">
        <v>20</v>
      </c>
    </row>
    <row r="32" spans="1:15" ht="22.5" x14ac:dyDescent="0.2">
      <c r="A32" s="142"/>
      <c r="B32" s="114" t="s">
        <v>0</v>
      </c>
      <c r="C32" s="116">
        <v>2015</v>
      </c>
      <c r="D32" s="116">
        <v>2016</v>
      </c>
      <c r="E32" s="116">
        <v>2015</v>
      </c>
      <c r="F32" s="116">
        <v>2016</v>
      </c>
      <c r="G32" s="117" t="s">
        <v>27</v>
      </c>
      <c r="H32" s="118" t="s">
        <v>18</v>
      </c>
      <c r="I32" s="191" t="s">
        <v>19</v>
      </c>
      <c r="J32" s="119">
        <v>2016</v>
      </c>
    </row>
    <row r="33" spans="2:15" ht="13.5" customHeight="1" x14ac:dyDescent="0.2">
      <c r="B33" s="17" t="s">
        <v>28</v>
      </c>
      <c r="C33" s="18">
        <f>SUM(C6:C11)</f>
        <v>21079.085742049745</v>
      </c>
      <c r="D33" s="18">
        <f>SUM(D6:D11)</f>
        <v>21017.311622980906</v>
      </c>
      <c r="E33" s="18">
        <f>SUM(E6:E11)</f>
        <v>19587.365517294533</v>
      </c>
      <c r="F33" s="18">
        <f>SUM(F6:F11)</f>
        <v>19583.464675406798</v>
      </c>
      <c r="G33" s="128">
        <f t="shared" ref="G33:G38" si="4">(D33/C33-1)*100</f>
        <v>-0.29305881585560689</v>
      </c>
      <c r="H33" s="129">
        <f t="shared" ref="H33:H38" si="5">(F33/E33-1)*100</f>
        <v>-1.9915092125533107E-2</v>
      </c>
      <c r="I33" s="130">
        <f t="shared" ref="I33:I38" si="6">((D33/C33)/(F33/E33)-1)*100</f>
        <v>-0.27319813138962923</v>
      </c>
      <c r="J33" s="125">
        <f t="shared" ref="J33:J38" si="7">(D33/F33)/($D$29/$F$29)*100</f>
        <v>99.690749187478005</v>
      </c>
      <c r="K33" s="126"/>
      <c r="O33" s="131"/>
    </row>
    <row r="34" spans="2:15" ht="13.5" customHeight="1" x14ac:dyDescent="0.2">
      <c r="B34" s="19" t="s">
        <v>29</v>
      </c>
      <c r="C34" s="5">
        <f>SUM(C12:C15)</f>
        <v>7576.3838123964561</v>
      </c>
      <c r="D34" s="5">
        <f>SUM(D12:D15)</f>
        <v>7721.0822563441125</v>
      </c>
      <c r="E34" s="5">
        <f>SUM(E12:E15)</f>
        <v>6954.9266254251988</v>
      </c>
      <c r="F34" s="5">
        <f>SUM(F12:F15)</f>
        <v>7020.0016468875838</v>
      </c>
      <c r="G34" s="128">
        <f t="shared" si="4"/>
        <v>1.9098615847695122</v>
      </c>
      <c r="H34" s="129">
        <f t="shared" si="5"/>
        <v>0.93566797993942519</v>
      </c>
      <c r="I34" s="130">
        <f t="shared" si="6"/>
        <v>0.96516288476309331</v>
      </c>
      <c r="J34" s="125">
        <f t="shared" si="7"/>
        <v>102.1664234827804</v>
      </c>
      <c r="K34" s="126"/>
      <c r="O34" s="131"/>
    </row>
    <row r="35" spans="2:15" ht="13.5" customHeight="1" x14ac:dyDescent="0.2">
      <c r="B35" s="19" t="s">
        <v>30</v>
      </c>
      <c r="C35" s="5">
        <f>SUM(C16:C21)</f>
        <v>12747.738301652869</v>
      </c>
      <c r="D35" s="5">
        <f>SUM(D16:D21)</f>
        <v>12955.108289966205</v>
      </c>
      <c r="E35" s="5">
        <f>SUM(E16:E21)</f>
        <v>11852.458519734977</v>
      </c>
      <c r="F35" s="5">
        <f>SUM(F16:F21)</f>
        <v>11757.793038907555</v>
      </c>
      <c r="G35" s="128">
        <f t="shared" si="4"/>
        <v>1.6267198416400452</v>
      </c>
      <c r="H35" s="129">
        <f t="shared" si="5"/>
        <v>-0.79869911098864321</v>
      </c>
      <c r="I35" s="130">
        <f t="shared" si="6"/>
        <v>2.4449467203482511</v>
      </c>
      <c r="J35" s="125">
        <f t="shared" si="7"/>
        <v>102.34873075772842</v>
      </c>
      <c r="K35" s="126"/>
      <c r="O35" s="131"/>
    </row>
    <row r="36" spans="2:15" ht="13.5" customHeight="1" x14ac:dyDescent="0.2">
      <c r="B36" s="19" t="s">
        <v>31</v>
      </c>
      <c r="C36" s="5">
        <f>SUM(C22:C26)</f>
        <v>12975.411072038696</v>
      </c>
      <c r="D36" s="5">
        <f>SUM(D22:D26)</f>
        <v>13221.97852854439</v>
      </c>
      <c r="E36" s="5">
        <f>SUM(E22:E26)</f>
        <v>12331.212345077893</v>
      </c>
      <c r="F36" s="5">
        <f>SUM(F22:F26)</f>
        <v>12438.377381805967</v>
      </c>
      <c r="G36" s="128">
        <f t="shared" si="4"/>
        <v>1.9002670137906685</v>
      </c>
      <c r="H36" s="129">
        <f t="shared" si="5"/>
        <v>0.86905515637194508</v>
      </c>
      <c r="I36" s="130">
        <f t="shared" si="6"/>
        <v>1.0223272695675467</v>
      </c>
      <c r="J36" s="125">
        <f t="shared" si="7"/>
        <v>98.741550735943406</v>
      </c>
      <c r="K36" s="126"/>
      <c r="O36" s="131"/>
    </row>
    <row r="37" spans="2:15" ht="13.5" customHeight="1" x14ac:dyDescent="0.2">
      <c r="B37" s="20" t="s">
        <v>32</v>
      </c>
      <c r="C37" s="10">
        <f>+SUM(C27:C28)</f>
        <v>5262.5403273342554</v>
      </c>
      <c r="D37" s="10">
        <f>+SUM(D27:D28)</f>
        <v>5426.129302164386</v>
      </c>
      <c r="E37" s="10">
        <f>+SUM(E27:E28)</f>
        <v>5233.1952544165615</v>
      </c>
      <c r="F37" s="10">
        <f>+SUM(F27:F28)</f>
        <v>5251.4605149999998</v>
      </c>
      <c r="G37" s="192">
        <f t="shared" si="4"/>
        <v>3.1085552728295607</v>
      </c>
      <c r="H37" s="141">
        <f t="shared" si="5"/>
        <v>0.34902692705804927</v>
      </c>
      <c r="I37" s="193">
        <f t="shared" si="6"/>
        <v>2.7499303483803139</v>
      </c>
      <c r="J37" s="138">
        <f t="shared" si="7"/>
        <v>95.979229533366322</v>
      </c>
      <c r="K37" s="126"/>
      <c r="O37" s="131"/>
    </row>
    <row r="38" spans="2:15" ht="13.5" customHeight="1" x14ac:dyDescent="0.2">
      <c r="B38" s="13" t="s">
        <v>14</v>
      </c>
      <c r="C38" s="22">
        <f>SUM(C33:C37)</f>
        <v>59641.159255472019</v>
      </c>
      <c r="D38" s="133">
        <f>SUM(D33:D37)</f>
        <v>60341.610000000008</v>
      </c>
      <c r="E38" s="134">
        <f>SUM(E33:E37)</f>
        <v>55959.15826194916</v>
      </c>
      <c r="F38" s="134">
        <f>SUM(F33:F37)</f>
        <v>56051.097258007911</v>
      </c>
      <c r="G38" s="135">
        <f t="shared" si="4"/>
        <v>1.174441867448639</v>
      </c>
      <c r="H38" s="136">
        <f t="shared" si="5"/>
        <v>0.16429660294097204</v>
      </c>
      <c r="I38" s="137">
        <f t="shared" si="6"/>
        <v>1.0084883524036137</v>
      </c>
      <c r="J38" s="138">
        <f t="shared" si="7"/>
        <v>99.999999999999972</v>
      </c>
      <c r="K38" s="126"/>
      <c r="O38" s="131"/>
    </row>
    <row r="39" spans="2:15" ht="13.5" customHeight="1" x14ac:dyDescent="0.2">
      <c r="C39" s="106"/>
    </row>
    <row r="40" spans="2:15" ht="13.5" customHeight="1" x14ac:dyDescent="0.2"/>
    <row r="41" spans="2:15" ht="13.5" customHeight="1" x14ac:dyDescent="0.2"/>
    <row r="42" spans="2:15" ht="13.5" customHeight="1" x14ac:dyDescent="0.2"/>
    <row r="43" spans="2:15" ht="13.5" customHeight="1" x14ac:dyDescent="0.2"/>
    <row r="44" spans="2:15" ht="13.5" customHeight="1" x14ac:dyDescent="0.2"/>
  </sheetData>
  <mergeCells count="6">
    <mergeCell ref="G4:I4"/>
    <mergeCell ref="C4:D4"/>
    <mergeCell ref="E4:F4"/>
    <mergeCell ref="C31:D31"/>
    <mergeCell ref="E31:F31"/>
    <mergeCell ref="G31:I31"/>
  </mergeCells>
  <phoneticPr fontId="0" type="noConversion"/>
  <pageMargins left="0.51181102362204722" right="0.43307086614173229" top="0.51181102362204722" bottom="0.19685039370078741" header="0.23622047244094491" footer="0.23622047244094491"/>
  <pageSetup paperSize="9" scale="78" orientation="landscape" r:id="rId1"/>
  <headerFooter alignWithMargins="0">
    <oddHeader>&amp;CSide &amp;P /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2.75" x14ac:dyDescent="0.2"/>
  <cols>
    <col min="1" max="16384" width="9.140625" style="52"/>
  </cols>
  <sheetData>
    <row r="1" spans="1:1" x14ac:dyDescent="0.2">
      <c r="A1" s="155" t="s">
        <v>58</v>
      </c>
    </row>
    <row r="2" spans="1:1" x14ac:dyDescent="0.2">
      <c r="A2" s="155" t="s">
        <v>171</v>
      </c>
    </row>
    <row r="3" spans="1:1" x14ac:dyDescent="0.2">
      <c r="A3" s="155" t="s">
        <v>172</v>
      </c>
    </row>
    <row r="4" spans="1:1" x14ac:dyDescent="0.2">
      <c r="A4" s="155" t="s">
        <v>59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3"/>
  <sheetViews>
    <sheetView workbookViewId="0">
      <selection activeCell="H2" sqref="H2:H3"/>
    </sheetView>
  </sheetViews>
  <sheetFormatPr defaultColWidth="11.42578125" defaultRowHeight="10.5" x14ac:dyDescent="0.15"/>
  <cols>
    <col min="1" max="4" width="19.28515625" style="184" customWidth="1"/>
    <col min="5" max="10" width="12.7109375" style="184" customWidth="1"/>
    <col min="11" max="16384" width="11.42578125" style="184"/>
  </cols>
  <sheetData>
    <row r="1" spans="1:10" ht="42.95" customHeight="1" x14ac:dyDescent="0.2">
      <c r="A1" s="224" t="s">
        <v>108</v>
      </c>
      <c r="B1" s="224"/>
      <c r="C1" s="224"/>
      <c r="D1" s="224"/>
      <c r="E1" s="182" t="s">
        <v>60</v>
      </c>
      <c r="F1" s="183" t="s">
        <v>109</v>
      </c>
      <c r="G1" s="183" t="s">
        <v>110</v>
      </c>
      <c r="H1" s="183" t="s">
        <v>111</v>
      </c>
      <c r="I1" s="183" t="s">
        <v>112</v>
      </c>
      <c r="J1" s="182" t="s">
        <v>61</v>
      </c>
    </row>
    <row r="2" spans="1:10" ht="14.1" customHeight="1" x14ac:dyDescent="0.15">
      <c r="A2" s="210" t="s">
        <v>62</v>
      </c>
      <c r="B2" s="210" t="s">
        <v>108</v>
      </c>
      <c r="C2" s="210" t="s">
        <v>108</v>
      </c>
      <c r="D2" s="210" t="s">
        <v>108</v>
      </c>
      <c r="E2" s="218">
        <v>70270</v>
      </c>
      <c r="F2" s="218">
        <v>1106509</v>
      </c>
      <c r="G2" s="218">
        <v>642798641</v>
      </c>
      <c r="H2" s="218"/>
      <c r="I2" s="218">
        <v>79462630</v>
      </c>
      <c r="J2" s="218">
        <v>563336011</v>
      </c>
    </row>
    <row r="3" spans="1:10" ht="14.1" customHeight="1" x14ac:dyDescent="0.15">
      <c r="A3" s="221" t="s">
        <v>1</v>
      </c>
      <c r="B3" s="221" t="s">
        <v>53</v>
      </c>
      <c r="C3" s="221"/>
      <c r="D3" s="221"/>
      <c r="E3" s="219"/>
      <c r="F3" s="219"/>
      <c r="G3" s="219"/>
      <c r="H3" s="219"/>
      <c r="I3" s="219"/>
      <c r="J3" s="219"/>
    </row>
    <row r="4" spans="1:10" ht="14.1" customHeight="1" x14ac:dyDescent="0.15">
      <c r="A4" s="221"/>
      <c r="B4" s="210" t="s">
        <v>63</v>
      </c>
      <c r="C4" s="210" t="s">
        <v>64</v>
      </c>
      <c r="D4" s="210" t="s">
        <v>65</v>
      </c>
      <c r="E4" s="218">
        <v>70</v>
      </c>
      <c r="F4" s="218">
        <v>10139</v>
      </c>
      <c r="G4" s="218">
        <v>709730</v>
      </c>
      <c r="H4" s="218">
        <v>0</v>
      </c>
      <c r="I4" s="218">
        <v>0</v>
      </c>
      <c r="J4" s="218">
        <v>709730</v>
      </c>
    </row>
    <row r="5" spans="1:10" ht="14.1" customHeight="1" x14ac:dyDescent="0.15">
      <c r="A5" s="221"/>
      <c r="B5" s="220" t="s">
        <v>66</v>
      </c>
      <c r="C5" s="223" t="s">
        <v>67</v>
      </c>
      <c r="D5" s="210" t="s">
        <v>134</v>
      </c>
      <c r="E5" s="219"/>
      <c r="F5" s="219"/>
      <c r="G5" s="219"/>
      <c r="H5" s="219"/>
      <c r="I5" s="219"/>
      <c r="J5" s="219"/>
    </row>
    <row r="6" spans="1:10" ht="14.1" customHeight="1" x14ac:dyDescent="0.15">
      <c r="A6" s="221"/>
      <c r="B6" s="221"/>
      <c r="C6" s="221"/>
      <c r="D6" s="210" t="s">
        <v>132</v>
      </c>
      <c r="E6" s="212">
        <v>10</v>
      </c>
      <c r="F6" s="212">
        <v>10139</v>
      </c>
      <c r="G6" s="212">
        <v>101390</v>
      </c>
      <c r="H6" s="212">
        <v>0</v>
      </c>
      <c r="I6" s="212">
        <v>0</v>
      </c>
      <c r="J6" s="212">
        <v>101390</v>
      </c>
    </row>
    <row r="7" spans="1:10" ht="29.1" customHeight="1" x14ac:dyDescent="0.15">
      <c r="A7" s="221"/>
      <c r="B7" s="221"/>
      <c r="C7" s="209" t="s">
        <v>159</v>
      </c>
      <c r="D7" s="210" t="s">
        <v>133</v>
      </c>
      <c r="E7" s="212">
        <v>3</v>
      </c>
      <c r="F7" s="212">
        <v>11560</v>
      </c>
      <c r="G7" s="212">
        <v>34680</v>
      </c>
      <c r="H7" s="212">
        <v>2346</v>
      </c>
      <c r="I7" s="212">
        <v>7038</v>
      </c>
      <c r="J7" s="212">
        <v>27642</v>
      </c>
    </row>
    <row r="8" spans="1:10" ht="29.1" customHeight="1" x14ac:dyDescent="0.15">
      <c r="A8" s="221"/>
      <c r="B8" s="221"/>
      <c r="C8" s="209" t="s">
        <v>160</v>
      </c>
      <c r="D8" s="210" t="s">
        <v>133</v>
      </c>
      <c r="E8" s="212">
        <v>87</v>
      </c>
      <c r="F8" s="212">
        <v>11506</v>
      </c>
      <c r="G8" s="212">
        <v>1001022</v>
      </c>
      <c r="H8" s="212">
        <v>2292</v>
      </c>
      <c r="I8" s="212">
        <v>199404</v>
      </c>
      <c r="J8" s="212">
        <v>801618</v>
      </c>
    </row>
    <row r="9" spans="1:10" ht="29.1" customHeight="1" x14ac:dyDescent="0.15">
      <c r="A9" s="221"/>
      <c r="B9" s="221"/>
      <c r="C9" s="209" t="s">
        <v>161</v>
      </c>
      <c r="D9" s="210" t="s">
        <v>133</v>
      </c>
      <c r="E9" s="212">
        <v>5429</v>
      </c>
      <c r="F9" s="212">
        <v>10841</v>
      </c>
      <c r="G9" s="212">
        <v>58855789</v>
      </c>
      <c r="H9" s="212">
        <v>1627</v>
      </c>
      <c r="I9" s="212">
        <v>8832983</v>
      </c>
      <c r="J9" s="212">
        <v>50022806</v>
      </c>
    </row>
    <row r="10" spans="1:10" ht="14.1" customHeight="1" x14ac:dyDescent="0.15">
      <c r="A10" s="221"/>
      <c r="B10" s="220" t="s">
        <v>76</v>
      </c>
      <c r="C10" s="223" t="s">
        <v>67</v>
      </c>
      <c r="D10" s="210" t="s">
        <v>136</v>
      </c>
      <c r="E10" s="212">
        <v>15</v>
      </c>
      <c r="F10" s="212">
        <v>6828</v>
      </c>
      <c r="G10" s="212">
        <v>102420</v>
      </c>
      <c r="H10" s="212">
        <v>0</v>
      </c>
      <c r="I10" s="212">
        <v>0</v>
      </c>
      <c r="J10" s="212">
        <v>102420</v>
      </c>
    </row>
    <row r="11" spans="1:10" ht="14.1" customHeight="1" x14ac:dyDescent="0.15">
      <c r="A11" s="221"/>
      <c r="B11" s="221"/>
      <c r="C11" s="221"/>
      <c r="D11" s="210" t="s">
        <v>77</v>
      </c>
      <c r="E11" s="212">
        <v>66</v>
      </c>
      <c r="F11" s="212">
        <v>6828</v>
      </c>
      <c r="G11" s="212">
        <v>450648</v>
      </c>
      <c r="H11" s="212">
        <v>0</v>
      </c>
      <c r="I11" s="212">
        <v>0</v>
      </c>
      <c r="J11" s="212">
        <v>450648</v>
      </c>
    </row>
    <row r="12" spans="1:10" ht="14.1" customHeight="1" x14ac:dyDescent="0.15">
      <c r="A12" s="221"/>
      <c r="B12" s="221"/>
      <c r="C12" s="221"/>
      <c r="D12" s="210" t="s">
        <v>135</v>
      </c>
      <c r="E12" s="212">
        <v>2</v>
      </c>
      <c r="F12" s="212">
        <v>6949</v>
      </c>
      <c r="G12" s="212">
        <v>13898</v>
      </c>
      <c r="H12" s="212">
        <v>0</v>
      </c>
      <c r="I12" s="212">
        <v>0</v>
      </c>
      <c r="J12" s="212">
        <v>13898</v>
      </c>
    </row>
    <row r="13" spans="1:10" ht="14.1" customHeight="1" x14ac:dyDescent="0.15">
      <c r="A13" s="221"/>
      <c r="B13" s="221"/>
      <c r="C13" s="221"/>
      <c r="D13" s="210" t="s">
        <v>81</v>
      </c>
      <c r="E13" s="212">
        <v>1</v>
      </c>
      <c r="F13" s="212">
        <v>6949</v>
      </c>
      <c r="G13" s="212">
        <v>6949</v>
      </c>
      <c r="H13" s="212">
        <v>0</v>
      </c>
      <c r="I13" s="212">
        <v>0</v>
      </c>
      <c r="J13" s="212">
        <v>6949</v>
      </c>
    </row>
    <row r="14" spans="1:10" ht="29.1" customHeight="1" x14ac:dyDescent="0.15">
      <c r="A14" s="221"/>
      <c r="B14" s="221"/>
      <c r="C14" s="222" t="s">
        <v>159</v>
      </c>
      <c r="D14" s="210" t="s">
        <v>71</v>
      </c>
      <c r="E14" s="212">
        <v>11</v>
      </c>
      <c r="F14" s="212">
        <v>8249</v>
      </c>
      <c r="G14" s="212">
        <v>90739</v>
      </c>
      <c r="H14" s="212">
        <v>1421</v>
      </c>
      <c r="I14" s="212">
        <v>15631</v>
      </c>
      <c r="J14" s="212">
        <v>75108</v>
      </c>
    </row>
    <row r="15" spans="1:10" ht="14.1" customHeight="1" x14ac:dyDescent="0.15">
      <c r="A15" s="221"/>
      <c r="B15" s="221"/>
      <c r="C15" s="221"/>
      <c r="D15" s="210" t="s">
        <v>91</v>
      </c>
      <c r="E15" s="212">
        <v>480</v>
      </c>
      <c r="F15" s="212">
        <v>8370</v>
      </c>
      <c r="G15" s="212">
        <v>4017600</v>
      </c>
      <c r="H15" s="212">
        <v>1421</v>
      </c>
      <c r="I15" s="212">
        <v>682080</v>
      </c>
      <c r="J15" s="212">
        <v>3335520</v>
      </c>
    </row>
    <row r="16" spans="1:10" ht="29.1" customHeight="1" x14ac:dyDescent="0.15">
      <c r="A16" s="221"/>
      <c r="B16" s="221"/>
      <c r="C16" s="222" t="s">
        <v>161</v>
      </c>
      <c r="D16" s="210" t="s">
        <v>80</v>
      </c>
      <c r="E16" s="212">
        <v>2</v>
      </c>
      <c r="F16" s="212">
        <v>14027</v>
      </c>
      <c r="G16" s="212">
        <v>28054</v>
      </c>
      <c r="H16" s="212">
        <v>6951</v>
      </c>
      <c r="I16" s="212">
        <v>13902</v>
      </c>
      <c r="J16" s="212">
        <v>14152</v>
      </c>
    </row>
    <row r="17" spans="1:10" ht="14.1" customHeight="1" x14ac:dyDescent="0.15">
      <c r="A17" s="221"/>
      <c r="B17" s="221"/>
      <c r="C17" s="221"/>
      <c r="D17" s="210" t="s">
        <v>73</v>
      </c>
      <c r="E17" s="212">
        <v>1</v>
      </c>
      <c r="F17" s="212">
        <v>13829</v>
      </c>
      <c r="G17" s="212">
        <v>13829</v>
      </c>
      <c r="H17" s="212">
        <v>6753</v>
      </c>
      <c r="I17" s="212">
        <v>6753</v>
      </c>
      <c r="J17" s="212">
        <v>7076</v>
      </c>
    </row>
    <row r="18" spans="1:10" ht="14.1" customHeight="1" x14ac:dyDescent="0.15">
      <c r="A18" s="221"/>
      <c r="B18" s="221"/>
      <c r="C18" s="221"/>
      <c r="D18" s="210" t="s">
        <v>71</v>
      </c>
      <c r="E18" s="212">
        <v>15928</v>
      </c>
      <c r="F18" s="212">
        <v>7530</v>
      </c>
      <c r="G18" s="212">
        <v>119937840</v>
      </c>
      <c r="H18" s="212">
        <v>702</v>
      </c>
      <c r="I18" s="212">
        <v>11181456</v>
      </c>
      <c r="J18" s="212">
        <v>108756384</v>
      </c>
    </row>
    <row r="19" spans="1:10" ht="14.1" customHeight="1" x14ac:dyDescent="0.15">
      <c r="A19" s="221"/>
      <c r="B19" s="221"/>
      <c r="C19" s="221"/>
      <c r="D19" s="210" t="s">
        <v>91</v>
      </c>
      <c r="E19" s="212">
        <v>4717</v>
      </c>
      <c r="F19" s="212">
        <v>7651</v>
      </c>
      <c r="G19" s="212">
        <v>36089767</v>
      </c>
      <c r="H19" s="212">
        <v>702</v>
      </c>
      <c r="I19" s="212">
        <v>3311334</v>
      </c>
      <c r="J19" s="212">
        <v>32778433</v>
      </c>
    </row>
    <row r="20" spans="1:10" ht="14.1" customHeight="1" x14ac:dyDescent="0.15">
      <c r="A20" s="221"/>
      <c r="B20" s="220" t="s">
        <v>162</v>
      </c>
      <c r="C20" s="223" t="s">
        <v>108</v>
      </c>
      <c r="D20" s="210" t="s">
        <v>163</v>
      </c>
      <c r="E20" s="212">
        <v>369</v>
      </c>
      <c r="F20" s="212">
        <v>23712</v>
      </c>
      <c r="G20" s="212">
        <v>8749728</v>
      </c>
      <c r="H20" s="212">
        <v>3932</v>
      </c>
      <c r="I20" s="212">
        <v>1450908</v>
      </c>
      <c r="J20" s="212">
        <v>7298820</v>
      </c>
    </row>
    <row r="21" spans="1:10" ht="14.1" customHeight="1" x14ac:dyDescent="0.15">
      <c r="A21" s="221"/>
      <c r="B21" s="221"/>
      <c r="C21" s="221"/>
      <c r="D21" s="210" t="s">
        <v>165</v>
      </c>
      <c r="E21" s="212">
        <v>426</v>
      </c>
      <c r="F21" s="212">
        <v>20422</v>
      </c>
      <c r="G21" s="212">
        <v>8699772</v>
      </c>
      <c r="H21" s="212">
        <v>3932</v>
      </c>
      <c r="I21" s="212">
        <v>1675032</v>
      </c>
      <c r="J21" s="212">
        <v>7024740</v>
      </c>
    </row>
    <row r="22" spans="1:10" ht="14.1" customHeight="1" x14ac:dyDescent="0.15">
      <c r="A22" s="221"/>
      <c r="B22" s="221"/>
      <c r="C22" s="221"/>
      <c r="D22" s="210" t="s">
        <v>166</v>
      </c>
      <c r="E22" s="212">
        <v>3</v>
      </c>
      <c r="F22" s="212">
        <v>2853</v>
      </c>
      <c r="G22" s="212">
        <v>8559</v>
      </c>
      <c r="H22" s="212">
        <v>0</v>
      </c>
      <c r="I22" s="212">
        <v>0</v>
      </c>
      <c r="J22" s="212">
        <v>8559</v>
      </c>
    </row>
    <row r="23" spans="1:10" ht="29.1" customHeight="1" x14ac:dyDescent="0.15">
      <c r="A23" s="221"/>
      <c r="B23" s="222" t="s">
        <v>167</v>
      </c>
      <c r="C23" s="223" t="s">
        <v>67</v>
      </c>
      <c r="D23" s="210" t="s">
        <v>144</v>
      </c>
      <c r="E23" s="212">
        <v>2</v>
      </c>
      <c r="F23" s="212">
        <v>44986</v>
      </c>
      <c r="G23" s="212">
        <v>89972</v>
      </c>
      <c r="H23" s="212">
        <v>0</v>
      </c>
      <c r="I23" s="212">
        <v>0</v>
      </c>
      <c r="J23" s="212">
        <v>89972</v>
      </c>
    </row>
    <row r="24" spans="1:10" ht="14.1" customHeight="1" x14ac:dyDescent="0.15">
      <c r="A24" s="221"/>
      <c r="B24" s="221"/>
      <c r="C24" s="221"/>
      <c r="D24" s="210" t="s">
        <v>145</v>
      </c>
      <c r="E24" s="212">
        <v>5</v>
      </c>
      <c r="F24" s="212">
        <v>26911</v>
      </c>
      <c r="G24" s="212">
        <v>134555</v>
      </c>
      <c r="H24" s="212">
        <v>0</v>
      </c>
      <c r="I24" s="212">
        <v>0</v>
      </c>
      <c r="J24" s="212">
        <v>134555</v>
      </c>
    </row>
    <row r="25" spans="1:10" ht="14.1" customHeight="1" x14ac:dyDescent="0.15">
      <c r="A25" s="221"/>
      <c r="B25" s="221"/>
      <c r="C25" s="221"/>
      <c r="D25" s="210" t="s">
        <v>85</v>
      </c>
      <c r="E25" s="212">
        <v>4</v>
      </c>
      <c r="F25" s="212">
        <v>26911</v>
      </c>
      <c r="G25" s="212">
        <v>107644</v>
      </c>
      <c r="H25" s="212">
        <v>0</v>
      </c>
      <c r="I25" s="212">
        <v>0</v>
      </c>
      <c r="J25" s="212">
        <v>107644</v>
      </c>
    </row>
    <row r="26" spans="1:10" ht="14.1" customHeight="1" x14ac:dyDescent="0.15">
      <c r="A26" s="221"/>
      <c r="B26" s="221"/>
      <c r="C26" s="221"/>
      <c r="D26" s="210" t="s">
        <v>141</v>
      </c>
      <c r="E26" s="212">
        <v>6</v>
      </c>
      <c r="F26" s="212">
        <v>13127</v>
      </c>
      <c r="G26" s="212">
        <v>78762</v>
      </c>
      <c r="H26" s="212">
        <v>0</v>
      </c>
      <c r="I26" s="212">
        <v>0</v>
      </c>
      <c r="J26" s="212">
        <v>78762</v>
      </c>
    </row>
    <row r="27" spans="1:10" ht="14.1" customHeight="1" x14ac:dyDescent="0.15">
      <c r="A27" s="221"/>
      <c r="B27" s="221"/>
      <c r="C27" s="221"/>
      <c r="D27" s="210" t="s">
        <v>78</v>
      </c>
      <c r="E27" s="212">
        <v>7</v>
      </c>
      <c r="F27" s="212">
        <v>13127</v>
      </c>
      <c r="G27" s="212">
        <v>91889</v>
      </c>
      <c r="H27" s="212">
        <v>0</v>
      </c>
      <c r="I27" s="212">
        <v>0</v>
      </c>
      <c r="J27" s="212">
        <v>91889</v>
      </c>
    </row>
    <row r="28" spans="1:10" ht="14.1" customHeight="1" x14ac:dyDescent="0.15">
      <c r="A28" s="221"/>
      <c r="B28" s="221"/>
      <c r="C28" s="221"/>
      <c r="D28" s="210" t="s">
        <v>146</v>
      </c>
      <c r="E28" s="212">
        <v>5</v>
      </c>
      <c r="F28" s="212">
        <v>10040</v>
      </c>
      <c r="G28" s="212">
        <v>50200</v>
      </c>
      <c r="H28" s="212">
        <v>0</v>
      </c>
      <c r="I28" s="212">
        <v>0</v>
      </c>
      <c r="J28" s="212">
        <v>50200</v>
      </c>
    </row>
    <row r="29" spans="1:10" ht="14.1" customHeight="1" x14ac:dyDescent="0.15">
      <c r="A29" s="221"/>
      <c r="B29" s="221"/>
      <c r="C29" s="221"/>
      <c r="D29" s="210" t="s">
        <v>83</v>
      </c>
      <c r="E29" s="212">
        <v>9</v>
      </c>
      <c r="F29" s="212">
        <v>10040</v>
      </c>
      <c r="G29" s="212">
        <v>90360</v>
      </c>
      <c r="H29" s="212">
        <v>0</v>
      </c>
      <c r="I29" s="212">
        <v>0</v>
      </c>
      <c r="J29" s="212">
        <v>90360</v>
      </c>
    </row>
    <row r="30" spans="1:10" ht="14.1" customHeight="1" x14ac:dyDescent="0.15">
      <c r="A30" s="221"/>
      <c r="B30" s="221"/>
      <c r="C30" s="221"/>
      <c r="D30" s="210" t="s">
        <v>136</v>
      </c>
      <c r="E30" s="212">
        <v>3</v>
      </c>
      <c r="F30" s="212">
        <v>6828</v>
      </c>
      <c r="G30" s="212">
        <v>20484</v>
      </c>
      <c r="H30" s="212">
        <v>0</v>
      </c>
      <c r="I30" s="212">
        <v>0</v>
      </c>
      <c r="J30" s="212">
        <v>20484</v>
      </c>
    </row>
    <row r="31" spans="1:10" ht="14.1" customHeight="1" x14ac:dyDescent="0.15">
      <c r="A31" s="221"/>
      <c r="B31" s="221"/>
      <c r="C31" s="221"/>
      <c r="D31" s="210" t="s">
        <v>147</v>
      </c>
      <c r="E31" s="212">
        <v>1</v>
      </c>
      <c r="F31" s="212">
        <v>2410</v>
      </c>
      <c r="G31" s="212">
        <v>2410</v>
      </c>
      <c r="H31" s="212">
        <v>0</v>
      </c>
      <c r="I31" s="212">
        <v>0</v>
      </c>
      <c r="J31" s="212">
        <v>2410</v>
      </c>
    </row>
    <row r="32" spans="1:10" ht="14.1" customHeight="1" x14ac:dyDescent="0.15">
      <c r="A32" s="221"/>
      <c r="B32" s="221"/>
      <c r="C32" s="221"/>
      <c r="D32" s="210" t="s">
        <v>84</v>
      </c>
      <c r="E32" s="212">
        <v>1</v>
      </c>
      <c r="F32" s="212">
        <v>2410</v>
      </c>
      <c r="G32" s="212">
        <v>2410</v>
      </c>
      <c r="H32" s="212">
        <v>0</v>
      </c>
      <c r="I32" s="212">
        <v>0</v>
      </c>
      <c r="J32" s="212">
        <v>2410</v>
      </c>
    </row>
    <row r="33" spans="1:10" ht="14.1" customHeight="1" x14ac:dyDescent="0.15">
      <c r="A33" s="221"/>
      <c r="B33" s="221"/>
      <c r="C33" s="221"/>
      <c r="D33" s="210" t="s">
        <v>148</v>
      </c>
      <c r="E33" s="212">
        <v>1</v>
      </c>
      <c r="F33" s="212">
        <v>1205</v>
      </c>
      <c r="G33" s="212">
        <v>1205</v>
      </c>
      <c r="H33" s="212">
        <v>0</v>
      </c>
      <c r="I33" s="212">
        <v>0</v>
      </c>
      <c r="J33" s="212">
        <v>1205</v>
      </c>
    </row>
    <row r="34" spans="1:10" ht="14.1" customHeight="1" x14ac:dyDescent="0.15">
      <c r="A34" s="221"/>
      <c r="B34" s="221"/>
      <c r="C34" s="221"/>
      <c r="D34" s="210" t="s">
        <v>68</v>
      </c>
      <c r="E34" s="212">
        <v>1</v>
      </c>
      <c r="F34" s="212">
        <v>24193</v>
      </c>
      <c r="G34" s="212">
        <v>24193</v>
      </c>
      <c r="H34" s="212">
        <v>0</v>
      </c>
      <c r="I34" s="212">
        <v>0</v>
      </c>
      <c r="J34" s="212">
        <v>24193</v>
      </c>
    </row>
    <row r="35" spans="1:10" ht="14.1" customHeight="1" x14ac:dyDescent="0.15">
      <c r="A35" s="221"/>
      <c r="B35" s="221"/>
      <c r="C35" s="221"/>
      <c r="D35" s="210" t="s">
        <v>142</v>
      </c>
      <c r="E35" s="212">
        <v>6</v>
      </c>
      <c r="F35" s="212">
        <v>4097</v>
      </c>
      <c r="G35" s="212">
        <v>24582</v>
      </c>
      <c r="H35" s="212">
        <v>0</v>
      </c>
      <c r="I35" s="212">
        <v>0</v>
      </c>
      <c r="J35" s="212">
        <v>24582</v>
      </c>
    </row>
    <row r="36" spans="1:10" ht="14.1" customHeight="1" x14ac:dyDescent="0.15">
      <c r="A36" s="221"/>
      <c r="B36" s="221"/>
      <c r="C36" s="221"/>
      <c r="D36" s="210" t="s">
        <v>137</v>
      </c>
      <c r="E36" s="212">
        <v>4</v>
      </c>
      <c r="F36" s="212">
        <v>4097</v>
      </c>
      <c r="G36" s="212">
        <v>16388</v>
      </c>
      <c r="H36" s="212">
        <v>0</v>
      </c>
      <c r="I36" s="212">
        <v>0</v>
      </c>
      <c r="J36" s="212">
        <v>16388</v>
      </c>
    </row>
    <row r="37" spans="1:10" ht="14.1" customHeight="1" x14ac:dyDescent="0.15">
      <c r="A37" s="221"/>
      <c r="B37" s="221"/>
      <c r="C37" s="221"/>
      <c r="D37" s="210" t="s">
        <v>143</v>
      </c>
      <c r="E37" s="212">
        <v>36</v>
      </c>
      <c r="F37" s="212">
        <v>5103</v>
      </c>
      <c r="G37" s="212">
        <v>183708</v>
      </c>
      <c r="H37" s="212">
        <v>0</v>
      </c>
      <c r="I37" s="212">
        <v>0</v>
      </c>
      <c r="J37" s="212">
        <v>183708</v>
      </c>
    </row>
    <row r="38" spans="1:10" ht="14.1" customHeight="1" x14ac:dyDescent="0.15">
      <c r="A38" s="221"/>
      <c r="B38" s="221"/>
      <c r="C38" s="221"/>
      <c r="D38" s="210" t="s">
        <v>138</v>
      </c>
      <c r="E38" s="212">
        <v>8</v>
      </c>
      <c r="F38" s="212">
        <v>5103</v>
      </c>
      <c r="G38" s="212">
        <v>40824</v>
      </c>
      <c r="H38" s="212">
        <v>0</v>
      </c>
      <c r="I38" s="212">
        <v>0</v>
      </c>
      <c r="J38" s="212">
        <v>40824</v>
      </c>
    </row>
    <row r="39" spans="1:10" ht="29.1" customHeight="1" x14ac:dyDescent="0.15">
      <c r="A39" s="221"/>
      <c r="B39" s="221"/>
      <c r="C39" s="222" t="s">
        <v>159</v>
      </c>
      <c r="D39" s="210" t="s">
        <v>70</v>
      </c>
      <c r="E39" s="212">
        <v>97</v>
      </c>
      <c r="F39" s="212">
        <v>3986</v>
      </c>
      <c r="G39" s="212">
        <v>386642</v>
      </c>
      <c r="H39" s="212">
        <v>1421</v>
      </c>
      <c r="I39" s="212">
        <v>137837</v>
      </c>
      <c r="J39" s="212">
        <v>248805</v>
      </c>
    </row>
    <row r="40" spans="1:10" ht="14.1" customHeight="1" x14ac:dyDescent="0.15">
      <c r="A40" s="221"/>
      <c r="B40" s="221"/>
      <c r="C40" s="221"/>
      <c r="D40" s="210" t="s">
        <v>79</v>
      </c>
      <c r="E40" s="212">
        <v>43</v>
      </c>
      <c r="F40" s="212">
        <v>28332</v>
      </c>
      <c r="G40" s="212">
        <v>1218276</v>
      </c>
      <c r="H40" s="212">
        <v>1421</v>
      </c>
      <c r="I40" s="212">
        <v>61103</v>
      </c>
      <c r="J40" s="212">
        <v>1157173</v>
      </c>
    </row>
    <row r="41" spans="1:10" ht="14.1" customHeight="1" x14ac:dyDescent="0.15">
      <c r="A41" s="221"/>
      <c r="B41" s="221"/>
      <c r="C41" s="221"/>
      <c r="D41" s="210" t="s">
        <v>73</v>
      </c>
      <c r="E41" s="212">
        <v>2</v>
      </c>
      <c r="F41" s="212">
        <v>14548</v>
      </c>
      <c r="G41" s="212">
        <v>29096</v>
      </c>
      <c r="H41" s="212">
        <v>1421</v>
      </c>
      <c r="I41" s="212">
        <v>2842</v>
      </c>
      <c r="J41" s="212">
        <v>26254</v>
      </c>
    </row>
    <row r="42" spans="1:10" ht="14.1" customHeight="1" x14ac:dyDescent="0.15">
      <c r="A42" s="221"/>
      <c r="B42" s="221"/>
      <c r="C42" s="221"/>
      <c r="D42" s="210" t="s">
        <v>74</v>
      </c>
      <c r="E42" s="212">
        <v>5</v>
      </c>
      <c r="F42" s="212">
        <v>11461</v>
      </c>
      <c r="G42" s="212">
        <v>57305</v>
      </c>
      <c r="H42" s="212">
        <v>1421</v>
      </c>
      <c r="I42" s="212">
        <v>7105</v>
      </c>
      <c r="J42" s="212">
        <v>50200</v>
      </c>
    </row>
    <row r="43" spans="1:10" ht="14.1" customHeight="1" x14ac:dyDescent="0.15">
      <c r="A43" s="221"/>
      <c r="B43" s="221"/>
      <c r="C43" s="221"/>
      <c r="D43" s="210" t="s">
        <v>71</v>
      </c>
      <c r="E43" s="212">
        <v>5</v>
      </c>
      <c r="F43" s="212">
        <v>8249</v>
      </c>
      <c r="G43" s="212">
        <v>41245</v>
      </c>
      <c r="H43" s="212">
        <v>1421</v>
      </c>
      <c r="I43" s="212">
        <v>7105</v>
      </c>
      <c r="J43" s="212">
        <v>34140</v>
      </c>
    </row>
    <row r="44" spans="1:10" ht="14.1" customHeight="1" x14ac:dyDescent="0.15">
      <c r="A44" s="221"/>
      <c r="B44" s="221"/>
      <c r="C44" s="221"/>
      <c r="D44" s="210" t="s">
        <v>82</v>
      </c>
      <c r="E44" s="212">
        <v>1</v>
      </c>
      <c r="F44" s="212">
        <v>3831</v>
      </c>
      <c r="G44" s="212">
        <v>3831</v>
      </c>
      <c r="H44" s="212">
        <v>1421</v>
      </c>
      <c r="I44" s="212">
        <v>1421</v>
      </c>
      <c r="J44" s="212">
        <v>2410</v>
      </c>
    </row>
    <row r="45" spans="1:10" ht="14.1" customHeight="1" x14ac:dyDescent="0.15">
      <c r="A45" s="221"/>
      <c r="B45" s="221"/>
      <c r="C45" s="221"/>
      <c r="D45" s="210" t="s">
        <v>69</v>
      </c>
      <c r="E45" s="212">
        <v>5</v>
      </c>
      <c r="F45" s="212">
        <v>25614</v>
      </c>
      <c r="G45" s="212">
        <v>128070</v>
      </c>
      <c r="H45" s="212">
        <v>1421</v>
      </c>
      <c r="I45" s="212">
        <v>7105</v>
      </c>
      <c r="J45" s="212">
        <v>120965</v>
      </c>
    </row>
    <row r="46" spans="1:10" ht="14.1" customHeight="1" x14ac:dyDescent="0.15">
      <c r="A46" s="221"/>
      <c r="B46" s="221"/>
      <c r="C46" s="221"/>
      <c r="D46" s="210" t="s">
        <v>139</v>
      </c>
      <c r="E46" s="212">
        <v>44</v>
      </c>
      <c r="F46" s="212">
        <v>5518</v>
      </c>
      <c r="G46" s="212">
        <v>242792</v>
      </c>
      <c r="H46" s="212">
        <v>1421</v>
      </c>
      <c r="I46" s="212">
        <v>62524</v>
      </c>
      <c r="J46" s="212">
        <v>180268</v>
      </c>
    </row>
    <row r="47" spans="1:10" ht="14.1" customHeight="1" x14ac:dyDescent="0.15">
      <c r="A47" s="221"/>
      <c r="B47" s="221"/>
      <c r="C47" s="221"/>
      <c r="D47" s="210" t="s">
        <v>140</v>
      </c>
      <c r="E47" s="212">
        <v>17</v>
      </c>
      <c r="F47" s="212">
        <v>6524</v>
      </c>
      <c r="G47" s="212">
        <v>110908</v>
      </c>
      <c r="H47" s="212">
        <v>1421</v>
      </c>
      <c r="I47" s="212">
        <v>24157</v>
      </c>
      <c r="J47" s="212">
        <v>86751</v>
      </c>
    </row>
    <row r="48" spans="1:10" ht="29.1" customHeight="1" x14ac:dyDescent="0.15">
      <c r="A48" s="221"/>
      <c r="B48" s="221"/>
      <c r="C48" s="222" t="s">
        <v>160</v>
      </c>
      <c r="D48" s="210" t="s">
        <v>139</v>
      </c>
      <c r="E48" s="212">
        <v>8</v>
      </c>
      <c r="F48" s="212">
        <v>5048</v>
      </c>
      <c r="G48" s="212">
        <v>40387</v>
      </c>
      <c r="H48" s="212">
        <v>1367</v>
      </c>
      <c r="I48" s="212">
        <v>10936</v>
      </c>
      <c r="J48" s="212">
        <v>29451</v>
      </c>
    </row>
    <row r="49" spans="1:10" ht="14.1" customHeight="1" x14ac:dyDescent="0.15">
      <c r="A49" s="221"/>
      <c r="B49" s="221"/>
      <c r="C49" s="221"/>
      <c r="D49" s="210" t="s">
        <v>140</v>
      </c>
      <c r="E49" s="212">
        <v>162</v>
      </c>
      <c r="F49" s="212">
        <v>6117</v>
      </c>
      <c r="G49" s="212">
        <v>990950</v>
      </c>
      <c r="H49" s="212">
        <v>1367</v>
      </c>
      <c r="I49" s="212">
        <v>221454</v>
      </c>
      <c r="J49" s="212">
        <v>769496</v>
      </c>
    </row>
    <row r="50" spans="1:10" ht="29.1" customHeight="1" x14ac:dyDescent="0.15">
      <c r="A50" s="221"/>
      <c r="B50" s="221"/>
      <c r="C50" s="222" t="s">
        <v>161</v>
      </c>
      <c r="D50" s="210" t="s">
        <v>70</v>
      </c>
      <c r="E50" s="212">
        <v>5506</v>
      </c>
      <c r="F50" s="212">
        <v>3267</v>
      </c>
      <c r="G50" s="212">
        <v>17988102</v>
      </c>
      <c r="H50" s="212">
        <v>702</v>
      </c>
      <c r="I50" s="212">
        <v>3865212</v>
      </c>
      <c r="J50" s="212">
        <v>14122890</v>
      </c>
    </row>
    <row r="51" spans="1:10" ht="14.1" customHeight="1" x14ac:dyDescent="0.15">
      <c r="A51" s="221"/>
      <c r="B51" s="221"/>
      <c r="C51" s="221"/>
      <c r="D51" s="210" t="s">
        <v>88</v>
      </c>
      <c r="E51" s="212">
        <v>58</v>
      </c>
      <c r="F51" s="212">
        <v>61914</v>
      </c>
      <c r="G51" s="212">
        <v>3591012</v>
      </c>
      <c r="H51" s="212">
        <v>702</v>
      </c>
      <c r="I51" s="212">
        <v>40716</v>
      </c>
      <c r="J51" s="212">
        <v>3550296</v>
      </c>
    </row>
    <row r="52" spans="1:10" ht="14.1" customHeight="1" x14ac:dyDescent="0.15">
      <c r="A52" s="221"/>
      <c r="B52" s="221"/>
      <c r="C52" s="221"/>
      <c r="D52" s="210" t="s">
        <v>101</v>
      </c>
      <c r="E52" s="212">
        <v>5</v>
      </c>
      <c r="F52" s="212">
        <v>45688</v>
      </c>
      <c r="G52" s="212">
        <v>228440</v>
      </c>
      <c r="H52" s="212">
        <v>702</v>
      </c>
      <c r="I52" s="212">
        <v>3510</v>
      </c>
      <c r="J52" s="212">
        <v>224930</v>
      </c>
    </row>
    <row r="53" spans="1:10" ht="14.1" customHeight="1" x14ac:dyDescent="0.15">
      <c r="A53" s="221"/>
      <c r="B53" s="221"/>
      <c r="C53" s="221"/>
      <c r="D53" s="210" t="s">
        <v>79</v>
      </c>
      <c r="E53" s="212">
        <v>1401</v>
      </c>
      <c r="F53" s="212">
        <v>27613</v>
      </c>
      <c r="G53" s="212">
        <v>38685813</v>
      </c>
      <c r="H53" s="212">
        <v>702</v>
      </c>
      <c r="I53" s="212">
        <v>983502</v>
      </c>
      <c r="J53" s="212">
        <v>37702311</v>
      </c>
    </row>
    <row r="54" spans="1:10" ht="14.1" customHeight="1" x14ac:dyDescent="0.15">
      <c r="A54" s="221"/>
      <c r="B54" s="221"/>
      <c r="C54" s="221"/>
      <c r="D54" s="210" t="s">
        <v>73</v>
      </c>
      <c r="E54" s="212">
        <v>2409</v>
      </c>
      <c r="F54" s="212">
        <v>13829</v>
      </c>
      <c r="G54" s="212">
        <v>33314061</v>
      </c>
      <c r="H54" s="212">
        <v>702</v>
      </c>
      <c r="I54" s="212">
        <v>1691118</v>
      </c>
      <c r="J54" s="212">
        <v>31622943</v>
      </c>
    </row>
    <row r="55" spans="1:10" ht="14.1" customHeight="1" x14ac:dyDescent="0.15">
      <c r="A55" s="221"/>
      <c r="B55" s="221"/>
      <c r="C55" s="221"/>
      <c r="D55" s="210" t="s">
        <v>74</v>
      </c>
      <c r="E55" s="212">
        <v>1183</v>
      </c>
      <c r="F55" s="212">
        <v>10742</v>
      </c>
      <c r="G55" s="212">
        <v>12707786</v>
      </c>
      <c r="H55" s="212">
        <v>702</v>
      </c>
      <c r="I55" s="212">
        <v>830466</v>
      </c>
      <c r="J55" s="212">
        <v>11877320</v>
      </c>
    </row>
    <row r="56" spans="1:10" ht="14.1" customHeight="1" x14ac:dyDescent="0.15">
      <c r="A56" s="221"/>
      <c r="B56" s="221"/>
      <c r="C56" s="221"/>
      <c r="D56" s="210" t="s">
        <v>71</v>
      </c>
      <c r="E56" s="212">
        <v>712</v>
      </c>
      <c r="F56" s="212">
        <v>7530</v>
      </c>
      <c r="G56" s="212">
        <v>5361360</v>
      </c>
      <c r="H56" s="212">
        <v>702</v>
      </c>
      <c r="I56" s="212">
        <v>499824</v>
      </c>
      <c r="J56" s="212">
        <v>4861536</v>
      </c>
    </row>
    <row r="57" spans="1:10" ht="14.1" customHeight="1" x14ac:dyDescent="0.15">
      <c r="A57" s="221"/>
      <c r="B57" s="221"/>
      <c r="C57" s="221"/>
      <c r="D57" s="210" t="s">
        <v>72</v>
      </c>
      <c r="E57" s="212">
        <v>8</v>
      </c>
      <c r="F57" s="212">
        <v>4953</v>
      </c>
      <c r="G57" s="212">
        <v>39624</v>
      </c>
      <c r="H57" s="212">
        <v>702</v>
      </c>
      <c r="I57" s="212">
        <v>5616</v>
      </c>
      <c r="J57" s="212">
        <v>34008</v>
      </c>
    </row>
    <row r="58" spans="1:10" ht="14.1" customHeight="1" x14ac:dyDescent="0.15">
      <c r="A58" s="221"/>
      <c r="B58" s="221"/>
      <c r="C58" s="221"/>
      <c r="D58" s="210" t="s">
        <v>82</v>
      </c>
      <c r="E58" s="212">
        <v>87</v>
      </c>
      <c r="F58" s="212">
        <v>3112</v>
      </c>
      <c r="G58" s="212">
        <v>270744</v>
      </c>
      <c r="H58" s="212">
        <v>702</v>
      </c>
      <c r="I58" s="212">
        <v>61074</v>
      </c>
      <c r="J58" s="212">
        <v>209670</v>
      </c>
    </row>
    <row r="59" spans="1:10" ht="14.1" customHeight="1" x14ac:dyDescent="0.15">
      <c r="A59" s="221"/>
      <c r="B59" s="221"/>
      <c r="C59" s="221"/>
      <c r="D59" s="210" t="s">
        <v>75</v>
      </c>
      <c r="E59" s="212">
        <v>20</v>
      </c>
      <c r="F59" s="212">
        <v>1907</v>
      </c>
      <c r="G59" s="212">
        <v>38140</v>
      </c>
      <c r="H59" s="212">
        <v>702</v>
      </c>
      <c r="I59" s="212">
        <v>14040</v>
      </c>
      <c r="J59" s="212">
        <v>24100</v>
      </c>
    </row>
    <row r="60" spans="1:10" ht="14.1" customHeight="1" x14ac:dyDescent="0.15">
      <c r="A60" s="221"/>
      <c r="B60" s="221"/>
      <c r="C60" s="221"/>
      <c r="D60" s="210" t="s">
        <v>69</v>
      </c>
      <c r="E60" s="212">
        <v>86</v>
      </c>
      <c r="F60" s="212">
        <v>24895</v>
      </c>
      <c r="G60" s="212">
        <v>2140970</v>
      </c>
      <c r="H60" s="212">
        <v>702</v>
      </c>
      <c r="I60" s="212">
        <v>60372</v>
      </c>
      <c r="J60" s="212">
        <v>2080598</v>
      </c>
    </row>
    <row r="61" spans="1:10" ht="14.1" customHeight="1" x14ac:dyDescent="0.15">
      <c r="A61" s="221"/>
      <c r="B61" s="221"/>
      <c r="C61" s="221"/>
      <c r="D61" s="210" t="s">
        <v>139</v>
      </c>
      <c r="E61" s="212">
        <v>1529</v>
      </c>
      <c r="F61" s="212">
        <v>4799</v>
      </c>
      <c r="G61" s="212">
        <v>7337671</v>
      </c>
      <c r="H61" s="212">
        <v>702</v>
      </c>
      <c r="I61" s="212">
        <v>1073358</v>
      </c>
      <c r="J61" s="212">
        <v>6264313</v>
      </c>
    </row>
    <row r="62" spans="1:10" ht="14.1" customHeight="1" x14ac:dyDescent="0.15">
      <c r="A62" s="221"/>
      <c r="B62" s="221"/>
      <c r="C62" s="221"/>
      <c r="D62" s="210" t="s">
        <v>140</v>
      </c>
      <c r="E62" s="212">
        <v>5227</v>
      </c>
      <c r="F62" s="212">
        <v>5805</v>
      </c>
      <c r="G62" s="212">
        <v>30342735</v>
      </c>
      <c r="H62" s="212">
        <v>702</v>
      </c>
      <c r="I62" s="212">
        <v>3669354</v>
      </c>
      <c r="J62" s="212">
        <v>26673381</v>
      </c>
    </row>
    <row r="63" spans="1:10" ht="14.1" customHeight="1" x14ac:dyDescent="0.15">
      <c r="A63" s="221"/>
      <c r="B63" s="220" t="s">
        <v>168</v>
      </c>
      <c r="C63" s="223" t="s">
        <v>67</v>
      </c>
      <c r="D63" s="210" t="s">
        <v>144</v>
      </c>
      <c r="E63" s="212">
        <v>2</v>
      </c>
      <c r="F63" s="212">
        <v>44986</v>
      </c>
      <c r="G63" s="212">
        <v>89972</v>
      </c>
      <c r="H63" s="212">
        <v>925</v>
      </c>
      <c r="I63" s="212">
        <v>1850</v>
      </c>
      <c r="J63" s="212">
        <v>88122</v>
      </c>
    </row>
    <row r="64" spans="1:10" ht="14.1" customHeight="1" x14ac:dyDescent="0.15">
      <c r="A64" s="221"/>
      <c r="B64" s="221"/>
      <c r="C64" s="221"/>
      <c r="D64" s="210" t="s">
        <v>145</v>
      </c>
      <c r="E64" s="212">
        <v>31</v>
      </c>
      <c r="F64" s="212">
        <v>26911</v>
      </c>
      <c r="G64" s="212">
        <v>834241</v>
      </c>
      <c r="H64" s="212">
        <v>925</v>
      </c>
      <c r="I64" s="212">
        <v>28675</v>
      </c>
      <c r="J64" s="212">
        <v>805566</v>
      </c>
    </row>
    <row r="65" spans="1:10" ht="14.1" customHeight="1" x14ac:dyDescent="0.15">
      <c r="A65" s="221"/>
      <c r="B65" s="221"/>
      <c r="C65" s="221"/>
      <c r="D65" s="210" t="s">
        <v>141</v>
      </c>
      <c r="E65" s="212">
        <v>54</v>
      </c>
      <c r="F65" s="212">
        <v>13127</v>
      </c>
      <c r="G65" s="212">
        <v>708858</v>
      </c>
      <c r="H65" s="212">
        <v>925</v>
      </c>
      <c r="I65" s="212">
        <v>49950</v>
      </c>
      <c r="J65" s="212">
        <v>658908</v>
      </c>
    </row>
    <row r="66" spans="1:10" ht="14.1" customHeight="1" x14ac:dyDescent="0.15">
      <c r="A66" s="221"/>
      <c r="B66" s="221"/>
      <c r="C66" s="221"/>
      <c r="D66" s="210" t="s">
        <v>78</v>
      </c>
      <c r="E66" s="212">
        <v>2</v>
      </c>
      <c r="F66" s="212">
        <v>13127</v>
      </c>
      <c r="G66" s="212">
        <v>26254</v>
      </c>
      <c r="H66" s="212">
        <v>925</v>
      </c>
      <c r="I66" s="212">
        <v>1850</v>
      </c>
      <c r="J66" s="212">
        <v>24404</v>
      </c>
    </row>
    <row r="67" spans="1:10" ht="14.1" customHeight="1" x14ac:dyDescent="0.15">
      <c r="A67" s="221"/>
      <c r="B67" s="221"/>
      <c r="C67" s="221"/>
      <c r="D67" s="210" t="s">
        <v>146</v>
      </c>
      <c r="E67" s="212">
        <v>121</v>
      </c>
      <c r="F67" s="212">
        <v>10040</v>
      </c>
      <c r="G67" s="212">
        <v>1214840</v>
      </c>
      <c r="H67" s="212">
        <v>925</v>
      </c>
      <c r="I67" s="212">
        <v>111925</v>
      </c>
      <c r="J67" s="212">
        <v>1102915</v>
      </c>
    </row>
    <row r="68" spans="1:10" ht="14.1" customHeight="1" x14ac:dyDescent="0.15">
      <c r="A68" s="221"/>
      <c r="B68" s="221"/>
      <c r="C68" s="221"/>
      <c r="D68" s="210" t="s">
        <v>83</v>
      </c>
      <c r="E68" s="212">
        <v>3</v>
      </c>
      <c r="F68" s="212">
        <v>10040</v>
      </c>
      <c r="G68" s="212">
        <v>30120</v>
      </c>
      <c r="H68" s="212">
        <v>925</v>
      </c>
      <c r="I68" s="212">
        <v>2775</v>
      </c>
      <c r="J68" s="212">
        <v>27345</v>
      </c>
    </row>
    <row r="69" spans="1:10" ht="14.1" customHeight="1" x14ac:dyDescent="0.15">
      <c r="A69" s="221"/>
      <c r="B69" s="221"/>
      <c r="C69" s="221"/>
      <c r="D69" s="210" t="s">
        <v>136</v>
      </c>
      <c r="E69" s="212">
        <v>109</v>
      </c>
      <c r="F69" s="212">
        <v>6828</v>
      </c>
      <c r="G69" s="212">
        <v>744252</v>
      </c>
      <c r="H69" s="212">
        <v>925</v>
      </c>
      <c r="I69" s="212">
        <v>100825</v>
      </c>
      <c r="J69" s="212">
        <v>643427</v>
      </c>
    </row>
    <row r="70" spans="1:10" ht="14.1" customHeight="1" x14ac:dyDescent="0.15">
      <c r="A70" s="221"/>
      <c r="B70" s="221"/>
      <c r="C70" s="221"/>
      <c r="D70" s="210" t="s">
        <v>77</v>
      </c>
      <c r="E70" s="212">
        <v>3</v>
      </c>
      <c r="F70" s="212">
        <v>6828</v>
      </c>
      <c r="G70" s="212">
        <v>20484</v>
      </c>
      <c r="H70" s="212">
        <v>925</v>
      </c>
      <c r="I70" s="212">
        <v>2775</v>
      </c>
      <c r="J70" s="212">
        <v>17709</v>
      </c>
    </row>
    <row r="71" spans="1:10" ht="14.1" customHeight="1" x14ac:dyDescent="0.15">
      <c r="A71" s="221"/>
      <c r="B71" s="221"/>
      <c r="C71" s="221"/>
      <c r="D71" s="210" t="s">
        <v>149</v>
      </c>
      <c r="E71" s="212">
        <v>2</v>
      </c>
      <c r="F71" s="212">
        <v>4251</v>
      </c>
      <c r="G71" s="212">
        <v>8502</v>
      </c>
      <c r="H71" s="212">
        <v>925</v>
      </c>
      <c r="I71" s="212">
        <v>1850</v>
      </c>
      <c r="J71" s="212">
        <v>6652</v>
      </c>
    </row>
    <row r="72" spans="1:10" ht="14.1" customHeight="1" x14ac:dyDescent="0.15">
      <c r="A72" s="221"/>
      <c r="B72" s="221"/>
      <c r="C72" s="221"/>
      <c r="D72" s="210" t="s">
        <v>147</v>
      </c>
      <c r="E72" s="212">
        <v>1</v>
      </c>
      <c r="F72" s="212">
        <v>2410</v>
      </c>
      <c r="G72" s="212">
        <v>2410</v>
      </c>
      <c r="H72" s="212">
        <v>925</v>
      </c>
      <c r="I72" s="212">
        <v>925</v>
      </c>
      <c r="J72" s="212">
        <v>1485</v>
      </c>
    </row>
    <row r="73" spans="1:10" ht="14.1" customHeight="1" x14ac:dyDescent="0.15">
      <c r="A73" s="221"/>
      <c r="B73" s="221"/>
      <c r="C73" s="221"/>
      <c r="D73" s="210" t="s">
        <v>148</v>
      </c>
      <c r="E73" s="212">
        <v>3</v>
      </c>
      <c r="F73" s="212">
        <v>1205</v>
      </c>
      <c r="G73" s="212">
        <v>3615</v>
      </c>
      <c r="H73" s="212">
        <v>925</v>
      </c>
      <c r="I73" s="212">
        <v>2775</v>
      </c>
      <c r="J73" s="212">
        <v>840</v>
      </c>
    </row>
    <row r="74" spans="1:10" ht="29.1" customHeight="1" x14ac:dyDescent="0.15">
      <c r="A74" s="221"/>
      <c r="B74" s="221"/>
      <c r="C74" s="222" t="s">
        <v>159</v>
      </c>
      <c r="D74" s="210" t="s">
        <v>79</v>
      </c>
      <c r="E74" s="212">
        <v>2</v>
      </c>
      <c r="F74" s="212">
        <v>28332</v>
      </c>
      <c r="G74" s="212">
        <v>56664</v>
      </c>
      <c r="H74" s="212">
        <v>2346</v>
      </c>
      <c r="I74" s="212">
        <v>4692</v>
      </c>
      <c r="J74" s="212">
        <v>51972</v>
      </c>
    </row>
    <row r="75" spans="1:10" ht="14.1" customHeight="1" x14ac:dyDescent="0.15">
      <c r="A75" s="221"/>
      <c r="B75" s="221"/>
      <c r="C75" s="221"/>
      <c r="D75" s="210" t="s">
        <v>73</v>
      </c>
      <c r="E75" s="212">
        <v>2</v>
      </c>
      <c r="F75" s="212">
        <v>14548</v>
      </c>
      <c r="G75" s="212">
        <v>29096</v>
      </c>
      <c r="H75" s="212">
        <v>2346</v>
      </c>
      <c r="I75" s="212">
        <v>4692</v>
      </c>
      <c r="J75" s="212">
        <v>24404</v>
      </c>
    </row>
    <row r="76" spans="1:10" ht="14.1" customHeight="1" x14ac:dyDescent="0.15">
      <c r="A76" s="221"/>
      <c r="B76" s="221"/>
      <c r="C76" s="221"/>
      <c r="D76" s="210" t="s">
        <v>74</v>
      </c>
      <c r="E76" s="212">
        <v>9</v>
      </c>
      <c r="F76" s="212">
        <v>11461</v>
      </c>
      <c r="G76" s="212">
        <v>103149</v>
      </c>
      <c r="H76" s="212">
        <v>2346</v>
      </c>
      <c r="I76" s="212">
        <v>21114</v>
      </c>
      <c r="J76" s="212">
        <v>82035</v>
      </c>
    </row>
    <row r="77" spans="1:10" ht="14.1" customHeight="1" x14ac:dyDescent="0.15">
      <c r="A77" s="221"/>
      <c r="B77" s="221"/>
      <c r="C77" s="221"/>
      <c r="D77" s="210" t="s">
        <v>71</v>
      </c>
      <c r="E77" s="212">
        <v>42</v>
      </c>
      <c r="F77" s="212">
        <v>8249</v>
      </c>
      <c r="G77" s="212">
        <v>346458</v>
      </c>
      <c r="H77" s="212">
        <v>2346</v>
      </c>
      <c r="I77" s="212">
        <v>98532</v>
      </c>
      <c r="J77" s="212">
        <v>247926</v>
      </c>
    </row>
    <row r="78" spans="1:10" ht="14.1" customHeight="1" x14ac:dyDescent="0.15">
      <c r="A78" s="221"/>
      <c r="B78" s="221"/>
      <c r="C78" s="221"/>
      <c r="D78" s="210" t="s">
        <v>75</v>
      </c>
      <c r="E78" s="212">
        <v>2</v>
      </c>
      <c r="F78" s="212">
        <v>2626</v>
      </c>
      <c r="G78" s="212">
        <v>5252</v>
      </c>
      <c r="H78" s="212">
        <v>2346</v>
      </c>
      <c r="I78" s="212">
        <v>4692</v>
      </c>
      <c r="J78" s="212">
        <v>560</v>
      </c>
    </row>
    <row r="79" spans="1:10" ht="29.1" customHeight="1" x14ac:dyDescent="0.15">
      <c r="A79" s="221"/>
      <c r="B79" s="221"/>
      <c r="C79" s="222" t="s">
        <v>161</v>
      </c>
      <c r="D79" s="210" t="s">
        <v>88</v>
      </c>
      <c r="E79" s="212">
        <v>22</v>
      </c>
      <c r="F79" s="212">
        <v>61914</v>
      </c>
      <c r="G79" s="212">
        <v>1362108</v>
      </c>
      <c r="H79" s="212">
        <v>1627</v>
      </c>
      <c r="I79" s="212">
        <v>35794</v>
      </c>
      <c r="J79" s="212">
        <v>1326314</v>
      </c>
    </row>
    <row r="80" spans="1:10" ht="14.1" customHeight="1" x14ac:dyDescent="0.15">
      <c r="A80" s="221"/>
      <c r="B80" s="221"/>
      <c r="C80" s="221"/>
      <c r="D80" s="210" t="s">
        <v>101</v>
      </c>
      <c r="E80" s="212">
        <v>66</v>
      </c>
      <c r="F80" s="212">
        <v>45688</v>
      </c>
      <c r="G80" s="212">
        <v>3015408</v>
      </c>
      <c r="H80" s="212">
        <v>1627</v>
      </c>
      <c r="I80" s="212">
        <v>107382</v>
      </c>
      <c r="J80" s="212">
        <v>2908026</v>
      </c>
    </row>
    <row r="81" spans="1:10" ht="14.1" customHeight="1" x14ac:dyDescent="0.15">
      <c r="A81" s="221"/>
      <c r="B81" s="221"/>
      <c r="C81" s="221"/>
      <c r="D81" s="210" t="s">
        <v>79</v>
      </c>
      <c r="E81" s="212">
        <v>1159</v>
      </c>
      <c r="F81" s="212">
        <v>27613</v>
      </c>
      <c r="G81" s="212">
        <v>32003467</v>
      </c>
      <c r="H81" s="212">
        <v>1627</v>
      </c>
      <c r="I81" s="212">
        <v>1885693</v>
      </c>
      <c r="J81" s="212">
        <v>30117774</v>
      </c>
    </row>
    <row r="82" spans="1:10" ht="14.1" customHeight="1" x14ac:dyDescent="0.15">
      <c r="A82" s="221"/>
      <c r="B82" s="221"/>
      <c r="C82" s="221"/>
      <c r="D82" s="210" t="s">
        <v>73</v>
      </c>
      <c r="E82" s="212">
        <v>3466</v>
      </c>
      <c r="F82" s="212">
        <v>13829</v>
      </c>
      <c r="G82" s="212">
        <v>47931314</v>
      </c>
      <c r="H82" s="212">
        <v>1627</v>
      </c>
      <c r="I82" s="212">
        <v>5639182</v>
      </c>
      <c r="J82" s="212">
        <v>42292132</v>
      </c>
    </row>
    <row r="83" spans="1:10" ht="14.1" customHeight="1" x14ac:dyDescent="0.15">
      <c r="A83" s="221"/>
      <c r="B83" s="221"/>
      <c r="C83" s="221"/>
      <c r="D83" s="210" t="s">
        <v>74</v>
      </c>
      <c r="E83" s="212">
        <v>6932</v>
      </c>
      <c r="F83" s="212">
        <v>10742</v>
      </c>
      <c r="G83" s="212">
        <v>74463544</v>
      </c>
      <c r="H83" s="212">
        <v>1627</v>
      </c>
      <c r="I83" s="212">
        <v>11278364</v>
      </c>
      <c r="J83" s="212">
        <v>63185180</v>
      </c>
    </row>
    <row r="84" spans="1:10" ht="14.1" customHeight="1" x14ac:dyDescent="0.15">
      <c r="A84" s="221"/>
      <c r="B84" s="221"/>
      <c r="C84" s="221"/>
      <c r="D84" s="210" t="s">
        <v>71</v>
      </c>
      <c r="E84" s="212">
        <v>10947</v>
      </c>
      <c r="F84" s="212">
        <v>7530</v>
      </c>
      <c r="G84" s="212">
        <v>82430910</v>
      </c>
      <c r="H84" s="212">
        <v>1627</v>
      </c>
      <c r="I84" s="212">
        <v>17810769</v>
      </c>
      <c r="J84" s="212">
        <v>64620141</v>
      </c>
    </row>
    <row r="85" spans="1:10" ht="14.1" customHeight="1" x14ac:dyDescent="0.15">
      <c r="A85" s="221"/>
      <c r="B85" s="221"/>
      <c r="C85" s="221"/>
      <c r="D85" s="210" t="s">
        <v>72</v>
      </c>
      <c r="E85" s="212">
        <v>126</v>
      </c>
      <c r="F85" s="212">
        <v>4953</v>
      </c>
      <c r="G85" s="212">
        <v>624078</v>
      </c>
      <c r="H85" s="212">
        <v>1627</v>
      </c>
      <c r="I85" s="212">
        <v>205002</v>
      </c>
      <c r="J85" s="212">
        <v>419076</v>
      </c>
    </row>
    <row r="86" spans="1:10" ht="14.1" customHeight="1" x14ac:dyDescent="0.15">
      <c r="A86" s="221"/>
      <c r="B86" s="221"/>
      <c r="C86" s="221"/>
      <c r="D86" s="210" t="s">
        <v>82</v>
      </c>
      <c r="E86" s="212">
        <v>2</v>
      </c>
      <c r="F86" s="212">
        <v>3112</v>
      </c>
      <c r="G86" s="212">
        <v>6224</v>
      </c>
      <c r="H86" s="212">
        <v>1627</v>
      </c>
      <c r="I86" s="212">
        <v>3254</v>
      </c>
      <c r="J86" s="212">
        <v>2970</v>
      </c>
    </row>
    <row r="87" spans="1:10" ht="14.1" customHeight="1" x14ac:dyDescent="0.15">
      <c r="A87" s="221"/>
      <c r="B87" s="221"/>
      <c r="C87" s="221"/>
      <c r="D87" s="210" t="s">
        <v>75</v>
      </c>
      <c r="E87" s="212">
        <v>823</v>
      </c>
      <c r="F87" s="212">
        <v>1907</v>
      </c>
      <c r="G87" s="212">
        <v>1569461</v>
      </c>
      <c r="H87" s="212">
        <v>1627</v>
      </c>
      <c r="I87" s="212">
        <v>1339021</v>
      </c>
      <c r="J87" s="212">
        <v>230440</v>
      </c>
    </row>
    <row r="88" spans="1:10" ht="29.1" customHeight="1" x14ac:dyDescent="0.15">
      <c r="A88" s="222" t="s">
        <v>150</v>
      </c>
      <c r="B88" s="221" t="s">
        <v>53</v>
      </c>
      <c r="C88" s="221"/>
      <c r="D88" s="221"/>
      <c r="E88" s="212">
        <v>10015</v>
      </c>
      <c r="F88" s="212">
        <v>495712</v>
      </c>
      <c r="G88" s="212">
        <v>125220140</v>
      </c>
      <c r="H88" s="212"/>
      <c r="I88" s="212">
        <v>6951067</v>
      </c>
      <c r="J88" s="212">
        <v>118269073</v>
      </c>
    </row>
    <row r="89" spans="1:10" ht="14.1" customHeight="1" x14ac:dyDescent="0.15">
      <c r="A89" s="221"/>
      <c r="B89" s="210" t="s">
        <v>63</v>
      </c>
      <c r="C89" s="210" t="s">
        <v>64</v>
      </c>
      <c r="D89" s="210" t="s">
        <v>65</v>
      </c>
      <c r="E89" s="218">
        <v>2</v>
      </c>
      <c r="F89" s="218">
        <v>10139</v>
      </c>
      <c r="G89" s="218">
        <v>20278</v>
      </c>
      <c r="H89" s="218">
        <v>0</v>
      </c>
      <c r="I89" s="218">
        <v>0</v>
      </c>
      <c r="J89" s="218">
        <v>20278</v>
      </c>
    </row>
    <row r="90" spans="1:10" ht="14.1" customHeight="1" x14ac:dyDescent="0.15">
      <c r="A90" s="221"/>
      <c r="B90" s="220" t="s">
        <v>66</v>
      </c>
      <c r="C90" s="223" t="s">
        <v>67</v>
      </c>
      <c r="D90" s="210" t="s">
        <v>134</v>
      </c>
      <c r="E90" s="219"/>
      <c r="F90" s="219"/>
      <c r="G90" s="219"/>
      <c r="H90" s="219"/>
      <c r="I90" s="219"/>
      <c r="J90" s="219"/>
    </row>
    <row r="91" spans="1:10" ht="14.1" customHeight="1" x14ac:dyDescent="0.15">
      <c r="A91" s="221"/>
      <c r="B91" s="221"/>
      <c r="C91" s="221"/>
      <c r="D91" s="210" t="s">
        <v>132</v>
      </c>
      <c r="E91" s="212">
        <v>6</v>
      </c>
      <c r="F91" s="212">
        <v>10139</v>
      </c>
      <c r="G91" s="212">
        <v>60834</v>
      </c>
      <c r="H91" s="212">
        <v>0</v>
      </c>
      <c r="I91" s="212">
        <v>0</v>
      </c>
      <c r="J91" s="212">
        <v>60834</v>
      </c>
    </row>
    <row r="92" spans="1:10" ht="29.1" customHeight="1" x14ac:dyDescent="0.15">
      <c r="A92" s="221"/>
      <c r="B92" s="221"/>
      <c r="C92" s="209" t="s">
        <v>159</v>
      </c>
      <c r="D92" s="210" t="s">
        <v>133</v>
      </c>
      <c r="E92" s="212">
        <v>16</v>
      </c>
      <c r="F92" s="212">
        <v>11560</v>
      </c>
      <c r="G92" s="212">
        <v>184960</v>
      </c>
      <c r="H92" s="212">
        <v>2346</v>
      </c>
      <c r="I92" s="212">
        <v>37536</v>
      </c>
      <c r="J92" s="212">
        <v>147424</v>
      </c>
    </row>
    <row r="93" spans="1:10" ht="29.1" customHeight="1" x14ac:dyDescent="0.15">
      <c r="A93" s="221"/>
      <c r="B93" s="221"/>
      <c r="C93" s="209" t="s">
        <v>161</v>
      </c>
      <c r="D93" s="210" t="s">
        <v>133</v>
      </c>
      <c r="E93" s="212">
        <v>1651</v>
      </c>
      <c r="F93" s="212">
        <v>10841</v>
      </c>
      <c r="G93" s="212">
        <v>17898491</v>
      </c>
      <c r="H93" s="212">
        <v>1627</v>
      </c>
      <c r="I93" s="212">
        <v>2686177</v>
      </c>
      <c r="J93" s="212">
        <v>15212314</v>
      </c>
    </row>
    <row r="94" spans="1:10" ht="29.1" customHeight="1" x14ac:dyDescent="0.15">
      <c r="A94" s="221"/>
      <c r="B94" s="222" t="s">
        <v>167</v>
      </c>
      <c r="C94" s="223" t="s">
        <v>67</v>
      </c>
      <c r="D94" s="210" t="s">
        <v>144</v>
      </c>
      <c r="E94" s="212">
        <v>1</v>
      </c>
      <c r="F94" s="212">
        <v>44986</v>
      </c>
      <c r="G94" s="212">
        <v>44986</v>
      </c>
      <c r="H94" s="212">
        <v>0</v>
      </c>
      <c r="I94" s="212">
        <v>0</v>
      </c>
      <c r="J94" s="212">
        <v>44986</v>
      </c>
    </row>
    <row r="95" spans="1:10" ht="14.1" customHeight="1" x14ac:dyDescent="0.15">
      <c r="A95" s="221"/>
      <c r="B95" s="221"/>
      <c r="C95" s="221"/>
      <c r="D95" s="210" t="s">
        <v>145</v>
      </c>
      <c r="E95" s="212">
        <v>1</v>
      </c>
      <c r="F95" s="212">
        <v>26911</v>
      </c>
      <c r="G95" s="212">
        <v>26911</v>
      </c>
      <c r="H95" s="212">
        <v>0</v>
      </c>
      <c r="I95" s="212">
        <v>0</v>
      </c>
      <c r="J95" s="212">
        <v>26911</v>
      </c>
    </row>
    <row r="96" spans="1:10" ht="14.1" customHeight="1" x14ac:dyDescent="0.15">
      <c r="A96" s="221"/>
      <c r="B96" s="221"/>
      <c r="C96" s="221"/>
      <c r="D96" s="210" t="s">
        <v>85</v>
      </c>
      <c r="E96" s="212">
        <v>1</v>
      </c>
      <c r="F96" s="212">
        <v>26911</v>
      </c>
      <c r="G96" s="212">
        <v>26911</v>
      </c>
      <c r="H96" s="212">
        <v>0</v>
      </c>
      <c r="I96" s="212">
        <v>0</v>
      </c>
      <c r="J96" s="212">
        <v>26911</v>
      </c>
    </row>
    <row r="97" spans="1:10" ht="14.1" customHeight="1" x14ac:dyDescent="0.15">
      <c r="A97" s="221"/>
      <c r="B97" s="221"/>
      <c r="C97" s="221"/>
      <c r="D97" s="210" t="s">
        <v>141</v>
      </c>
      <c r="E97" s="212">
        <v>2</v>
      </c>
      <c r="F97" s="212">
        <v>13127</v>
      </c>
      <c r="G97" s="212">
        <v>26254</v>
      </c>
      <c r="H97" s="212">
        <v>0</v>
      </c>
      <c r="I97" s="212">
        <v>0</v>
      </c>
      <c r="J97" s="212">
        <v>26254</v>
      </c>
    </row>
    <row r="98" spans="1:10" ht="14.1" customHeight="1" x14ac:dyDescent="0.15">
      <c r="A98" s="221"/>
      <c r="B98" s="221"/>
      <c r="C98" s="221"/>
      <c r="D98" s="210" t="s">
        <v>78</v>
      </c>
      <c r="E98" s="212">
        <v>5</v>
      </c>
      <c r="F98" s="212">
        <v>13127</v>
      </c>
      <c r="G98" s="212">
        <v>65635</v>
      </c>
      <c r="H98" s="212">
        <v>0</v>
      </c>
      <c r="I98" s="212">
        <v>0</v>
      </c>
      <c r="J98" s="212">
        <v>65635</v>
      </c>
    </row>
    <row r="99" spans="1:10" ht="14.1" customHeight="1" x14ac:dyDescent="0.15">
      <c r="A99" s="221"/>
      <c r="B99" s="221"/>
      <c r="C99" s="221"/>
      <c r="D99" s="210" t="s">
        <v>136</v>
      </c>
      <c r="E99" s="212">
        <v>1</v>
      </c>
      <c r="F99" s="212">
        <v>6828</v>
      </c>
      <c r="G99" s="212">
        <v>6828</v>
      </c>
      <c r="H99" s="212">
        <v>0</v>
      </c>
      <c r="I99" s="212">
        <v>0</v>
      </c>
      <c r="J99" s="212">
        <v>6828</v>
      </c>
    </row>
    <row r="100" spans="1:10" ht="14.1" customHeight="1" x14ac:dyDescent="0.15">
      <c r="A100" s="221"/>
      <c r="B100" s="221"/>
      <c r="C100" s="221"/>
      <c r="D100" s="210" t="s">
        <v>77</v>
      </c>
      <c r="E100" s="212">
        <v>2</v>
      </c>
      <c r="F100" s="212">
        <v>6828</v>
      </c>
      <c r="G100" s="212">
        <v>13656</v>
      </c>
      <c r="H100" s="212">
        <v>0</v>
      </c>
      <c r="I100" s="212">
        <v>0</v>
      </c>
      <c r="J100" s="212">
        <v>13656</v>
      </c>
    </row>
    <row r="101" spans="1:10" ht="14.1" customHeight="1" x14ac:dyDescent="0.15">
      <c r="A101" s="221"/>
      <c r="B101" s="221"/>
      <c r="C101" s="221"/>
      <c r="D101" s="210" t="s">
        <v>142</v>
      </c>
      <c r="E101" s="212">
        <v>27</v>
      </c>
      <c r="F101" s="212">
        <v>4097</v>
      </c>
      <c r="G101" s="212">
        <v>110619</v>
      </c>
      <c r="H101" s="212">
        <v>0</v>
      </c>
      <c r="I101" s="212">
        <v>0</v>
      </c>
      <c r="J101" s="212">
        <v>110619</v>
      </c>
    </row>
    <row r="102" spans="1:10" ht="14.1" customHeight="1" x14ac:dyDescent="0.15">
      <c r="A102" s="221"/>
      <c r="B102" s="221"/>
      <c r="C102" s="221"/>
      <c r="D102" s="210" t="s">
        <v>137</v>
      </c>
      <c r="E102" s="212">
        <v>2350</v>
      </c>
      <c r="F102" s="212">
        <v>4097</v>
      </c>
      <c r="G102" s="212">
        <v>9627950</v>
      </c>
      <c r="H102" s="212">
        <v>0</v>
      </c>
      <c r="I102" s="212">
        <v>0</v>
      </c>
      <c r="J102" s="212">
        <v>9627950</v>
      </c>
    </row>
    <row r="103" spans="1:10" ht="14.1" customHeight="1" x14ac:dyDescent="0.15">
      <c r="A103" s="221"/>
      <c r="B103" s="221"/>
      <c r="C103" s="221"/>
      <c r="D103" s="210" t="s">
        <v>138</v>
      </c>
      <c r="E103" s="212">
        <v>1</v>
      </c>
      <c r="F103" s="212">
        <v>5103</v>
      </c>
      <c r="G103" s="212">
        <v>5103</v>
      </c>
      <c r="H103" s="212">
        <v>0</v>
      </c>
      <c r="I103" s="212">
        <v>0</v>
      </c>
      <c r="J103" s="212">
        <v>5103</v>
      </c>
    </row>
    <row r="104" spans="1:10" ht="29.1" customHeight="1" x14ac:dyDescent="0.15">
      <c r="A104" s="221"/>
      <c r="B104" s="221"/>
      <c r="C104" s="222" t="s">
        <v>159</v>
      </c>
      <c r="D104" s="210" t="s">
        <v>101</v>
      </c>
      <c r="E104" s="212">
        <v>1</v>
      </c>
      <c r="F104" s="212">
        <v>46407</v>
      </c>
      <c r="G104" s="212">
        <v>46407</v>
      </c>
      <c r="H104" s="212">
        <v>1421</v>
      </c>
      <c r="I104" s="212">
        <v>1421</v>
      </c>
      <c r="J104" s="212">
        <v>44986</v>
      </c>
    </row>
    <row r="105" spans="1:10" ht="14.1" customHeight="1" x14ac:dyDescent="0.15">
      <c r="A105" s="221"/>
      <c r="B105" s="221"/>
      <c r="C105" s="221"/>
      <c r="D105" s="210" t="s">
        <v>79</v>
      </c>
      <c r="E105" s="212">
        <v>5</v>
      </c>
      <c r="F105" s="212">
        <v>28332</v>
      </c>
      <c r="G105" s="212">
        <v>141660</v>
      </c>
      <c r="H105" s="212">
        <v>1421</v>
      </c>
      <c r="I105" s="212">
        <v>7105</v>
      </c>
      <c r="J105" s="212">
        <v>134555</v>
      </c>
    </row>
    <row r="106" spans="1:10" ht="14.1" customHeight="1" x14ac:dyDescent="0.15">
      <c r="A106" s="221"/>
      <c r="B106" s="221"/>
      <c r="C106" s="221"/>
      <c r="D106" s="210" t="s">
        <v>73</v>
      </c>
      <c r="E106" s="212">
        <v>7</v>
      </c>
      <c r="F106" s="212">
        <v>14548</v>
      </c>
      <c r="G106" s="212">
        <v>101836</v>
      </c>
      <c r="H106" s="212">
        <v>1421</v>
      </c>
      <c r="I106" s="212">
        <v>9947</v>
      </c>
      <c r="J106" s="212">
        <v>91889</v>
      </c>
    </row>
    <row r="107" spans="1:10" ht="14.1" customHeight="1" x14ac:dyDescent="0.15">
      <c r="A107" s="221"/>
      <c r="B107" s="221"/>
      <c r="C107" s="221"/>
      <c r="D107" s="210" t="s">
        <v>71</v>
      </c>
      <c r="E107" s="212">
        <v>8</v>
      </c>
      <c r="F107" s="212">
        <v>8249</v>
      </c>
      <c r="G107" s="212">
        <v>65992</v>
      </c>
      <c r="H107" s="212">
        <v>1421</v>
      </c>
      <c r="I107" s="212">
        <v>11368</v>
      </c>
      <c r="J107" s="212">
        <v>54624</v>
      </c>
    </row>
    <row r="108" spans="1:10" ht="14.1" customHeight="1" x14ac:dyDescent="0.15">
      <c r="A108" s="221"/>
      <c r="B108" s="221"/>
      <c r="C108" s="221"/>
      <c r="D108" s="210" t="s">
        <v>139</v>
      </c>
      <c r="E108" s="212">
        <v>12</v>
      </c>
      <c r="F108" s="212">
        <v>5518</v>
      </c>
      <c r="G108" s="212">
        <v>66216</v>
      </c>
      <c r="H108" s="212">
        <v>1421</v>
      </c>
      <c r="I108" s="212">
        <v>17052</v>
      </c>
      <c r="J108" s="212">
        <v>49164</v>
      </c>
    </row>
    <row r="109" spans="1:10" ht="14.1" customHeight="1" x14ac:dyDescent="0.15">
      <c r="A109" s="221"/>
      <c r="B109" s="221"/>
      <c r="C109" s="221"/>
      <c r="D109" s="210" t="s">
        <v>140</v>
      </c>
      <c r="E109" s="212">
        <v>1</v>
      </c>
      <c r="F109" s="212">
        <v>6524</v>
      </c>
      <c r="G109" s="212">
        <v>6524</v>
      </c>
      <c r="H109" s="212">
        <v>1421</v>
      </c>
      <c r="I109" s="212">
        <v>1421</v>
      </c>
      <c r="J109" s="212">
        <v>5103</v>
      </c>
    </row>
    <row r="110" spans="1:10" ht="29.1" customHeight="1" x14ac:dyDescent="0.15">
      <c r="A110" s="221"/>
      <c r="B110" s="221"/>
      <c r="C110" s="209" t="s">
        <v>160</v>
      </c>
      <c r="D110" s="210" t="s">
        <v>79</v>
      </c>
      <c r="E110" s="212">
        <v>4</v>
      </c>
      <c r="F110" s="212">
        <v>27613</v>
      </c>
      <c r="G110" s="212">
        <v>110452</v>
      </c>
      <c r="H110" s="212">
        <v>1367</v>
      </c>
      <c r="I110" s="212">
        <v>5468</v>
      </c>
      <c r="J110" s="212">
        <v>104984</v>
      </c>
    </row>
    <row r="111" spans="1:10" ht="29.1" customHeight="1" x14ac:dyDescent="0.15">
      <c r="A111" s="221"/>
      <c r="B111" s="221"/>
      <c r="C111" s="222" t="s">
        <v>161</v>
      </c>
      <c r="D111" s="210" t="s">
        <v>70</v>
      </c>
      <c r="E111" s="212">
        <v>7</v>
      </c>
      <c r="F111" s="212">
        <v>3267</v>
      </c>
      <c r="G111" s="212">
        <v>22869</v>
      </c>
      <c r="H111" s="212">
        <v>702</v>
      </c>
      <c r="I111" s="212">
        <v>4914</v>
      </c>
      <c r="J111" s="212">
        <v>17955</v>
      </c>
    </row>
    <row r="112" spans="1:10" ht="14.1" customHeight="1" x14ac:dyDescent="0.15">
      <c r="A112" s="221"/>
      <c r="B112" s="221"/>
      <c r="C112" s="221"/>
      <c r="D112" s="210" t="s">
        <v>101</v>
      </c>
      <c r="E112" s="212">
        <v>103</v>
      </c>
      <c r="F112" s="212">
        <v>45688</v>
      </c>
      <c r="G112" s="212">
        <v>4705864</v>
      </c>
      <c r="H112" s="212">
        <v>702</v>
      </c>
      <c r="I112" s="212">
        <v>72306</v>
      </c>
      <c r="J112" s="212">
        <v>4633558</v>
      </c>
    </row>
    <row r="113" spans="1:10" ht="14.1" customHeight="1" x14ac:dyDescent="0.15">
      <c r="A113" s="221"/>
      <c r="B113" s="221"/>
      <c r="C113" s="221"/>
      <c r="D113" s="210" t="s">
        <v>79</v>
      </c>
      <c r="E113" s="212">
        <v>1447</v>
      </c>
      <c r="F113" s="212">
        <v>27613</v>
      </c>
      <c r="G113" s="212">
        <v>39956011</v>
      </c>
      <c r="H113" s="212">
        <v>702</v>
      </c>
      <c r="I113" s="212">
        <v>1015794</v>
      </c>
      <c r="J113" s="212">
        <v>38940217</v>
      </c>
    </row>
    <row r="114" spans="1:10" ht="14.1" customHeight="1" x14ac:dyDescent="0.15">
      <c r="A114" s="221"/>
      <c r="B114" s="221"/>
      <c r="C114" s="221"/>
      <c r="D114" s="210" t="s">
        <v>73</v>
      </c>
      <c r="E114" s="212">
        <v>3110</v>
      </c>
      <c r="F114" s="212">
        <v>13829</v>
      </c>
      <c r="G114" s="212">
        <v>43008190</v>
      </c>
      <c r="H114" s="212">
        <v>702</v>
      </c>
      <c r="I114" s="212">
        <v>2183220</v>
      </c>
      <c r="J114" s="212">
        <v>40824970</v>
      </c>
    </row>
    <row r="115" spans="1:10" ht="14.1" customHeight="1" x14ac:dyDescent="0.15">
      <c r="A115" s="221"/>
      <c r="B115" s="221"/>
      <c r="C115" s="221"/>
      <c r="D115" s="210" t="s">
        <v>74</v>
      </c>
      <c r="E115" s="212">
        <v>199</v>
      </c>
      <c r="F115" s="212">
        <v>10742</v>
      </c>
      <c r="G115" s="212">
        <v>2137658</v>
      </c>
      <c r="H115" s="212">
        <v>702</v>
      </c>
      <c r="I115" s="212">
        <v>139698</v>
      </c>
      <c r="J115" s="212">
        <v>1997960</v>
      </c>
    </row>
    <row r="116" spans="1:10" ht="14.1" customHeight="1" x14ac:dyDescent="0.15">
      <c r="A116" s="221"/>
      <c r="B116" s="221"/>
      <c r="C116" s="221"/>
      <c r="D116" s="210" t="s">
        <v>71</v>
      </c>
      <c r="E116" s="212">
        <v>563</v>
      </c>
      <c r="F116" s="212">
        <v>7530</v>
      </c>
      <c r="G116" s="212">
        <v>4239390</v>
      </c>
      <c r="H116" s="212">
        <v>702</v>
      </c>
      <c r="I116" s="212">
        <v>395226</v>
      </c>
      <c r="J116" s="212">
        <v>3844164</v>
      </c>
    </row>
    <row r="117" spans="1:10" ht="14.1" customHeight="1" x14ac:dyDescent="0.15">
      <c r="A117" s="221"/>
      <c r="B117" s="221"/>
      <c r="C117" s="221"/>
      <c r="D117" s="210" t="s">
        <v>139</v>
      </c>
      <c r="E117" s="212">
        <v>343</v>
      </c>
      <c r="F117" s="212">
        <v>4799</v>
      </c>
      <c r="G117" s="212">
        <v>1646057</v>
      </c>
      <c r="H117" s="212">
        <v>702</v>
      </c>
      <c r="I117" s="212">
        <v>240786</v>
      </c>
      <c r="J117" s="212">
        <v>1405271</v>
      </c>
    </row>
    <row r="118" spans="1:10" ht="14.1" customHeight="1" x14ac:dyDescent="0.15">
      <c r="A118" s="221"/>
      <c r="B118" s="221"/>
      <c r="C118" s="221"/>
      <c r="D118" s="210" t="s">
        <v>140</v>
      </c>
      <c r="E118" s="212">
        <v>113</v>
      </c>
      <c r="F118" s="212">
        <v>5805</v>
      </c>
      <c r="G118" s="212">
        <v>655965</v>
      </c>
      <c r="H118" s="212">
        <v>702</v>
      </c>
      <c r="I118" s="212">
        <v>79326</v>
      </c>
      <c r="J118" s="212">
        <v>576639</v>
      </c>
    </row>
    <row r="119" spans="1:10" ht="29.1" customHeight="1" x14ac:dyDescent="0.15">
      <c r="A119" s="221"/>
      <c r="B119" s="220" t="s">
        <v>168</v>
      </c>
      <c r="C119" s="222" t="s">
        <v>161</v>
      </c>
      <c r="D119" s="210" t="s">
        <v>79</v>
      </c>
      <c r="E119" s="212">
        <v>4</v>
      </c>
      <c r="F119" s="212">
        <v>27613</v>
      </c>
      <c r="G119" s="212">
        <v>110452</v>
      </c>
      <c r="H119" s="212">
        <v>1627</v>
      </c>
      <c r="I119" s="212">
        <v>6508</v>
      </c>
      <c r="J119" s="212">
        <v>103944</v>
      </c>
    </row>
    <row r="120" spans="1:10" ht="14.1" customHeight="1" x14ac:dyDescent="0.15">
      <c r="A120" s="221"/>
      <c r="B120" s="221"/>
      <c r="C120" s="221"/>
      <c r="D120" s="210" t="s">
        <v>73</v>
      </c>
      <c r="E120" s="212">
        <v>1</v>
      </c>
      <c r="F120" s="212">
        <v>13829</v>
      </c>
      <c r="G120" s="212">
        <v>13829</v>
      </c>
      <c r="H120" s="212">
        <v>1627</v>
      </c>
      <c r="I120" s="212">
        <v>1627</v>
      </c>
      <c r="J120" s="212">
        <v>12202</v>
      </c>
    </row>
    <row r="121" spans="1:10" ht="14.1" customHeight="1" x14ac:dyDescent="0.15">
      <c r="A121" s="221"/>
      <c r="B121" s="221"/>
      <c r="C121" s="221"/>
      <c r="D121" s="210" t="s">
        <v>82</v>
      </c>
      <c r="E121" s="212">
        <v>21</v>
      </c>
      <c r="F121" s="212">
        <v>3112</v>
      </c>
      <c r="G121" s="212">
        <v>65352</v>
      </c>
      <c r="H121" s="212">
        <v>1627</v>
      </c>
      <c r="I121" s="212">
        <v>34167</v>
      </c>
      <c r="J121" s="212">
        <v>31185</v>
      </c>
    </row>
    <row r="122" spans="1:10" ht="29.1" customHeight="1" x14ac:dyDescent="0.15">
      <c r="A122" s="222" t="s">
        <v>120</v>
      </c>
      <c r="B122" s="221" t="s">
        <v>53</v>
      </c>
      <c r="C122" s="221"/>
      <c r="D122" s="221"/>
      <c r="E122" s="212">
        <v>5971</v>
      </c>
      <c r="F122" s="212">
        <v>165385</v>
      </c>
      <c r="G122" s="212">
        <v>32559991</v>
      </c>
      <c r="H122" s="212"/>
      <c r="I122" s="212">
        <v>4317398</v>
      </c>
      <c r="J122" s="212">
        <v>28242593</v>
      </c>
    </row>
    <row r="123" spans="1:10" ht="14.1" customHeight="1" x14ac:dyDescent="0.15">
      <c r="A123" s="221"/>
      <c r="B123" s="210" t="s">
        <v>63</v>
      </c>
      <c r="C123" s="210" t="s">
        <v>64</v>
      </c>
      <c r="D123" s="210" t="s">
        <v>65</v>
      </c>
      <c r="E123" s="218">
        <v>1</v>
      </c>
      <c r="F123" s="218">
        <v>10139</v>
      </c>
      <c r="G123" s="218">
        <v>10139</v>
      </c>
      <c r="H123" s="218">
        <v>0</v>
      </c>
      <c r="I123" s="218">
        <v>0</v>
      </c>
      <c r="J123" s="218">
        <v>10139</v>
      </c>
    </row>
    <row r="124" spans="1:10" ht="14.1" customHeight="1" x14ac:dyDescent="0.15">
      <c r="A124" s="221"/>
      <c r="B124" s="220" t="s">
        <v>66</v>
      </c>
      <c r="C124" s="211" t="s">
        <v>67</v>
      </c>
      <c r="D124" s="210" t="s">
        <v>134</v>
      </c>
      <c r="E124" s="219"/>
      <c r="F124" s="219"/>
      <c r="G124" s="219"/>
      <c r="H124" s="219"/>
      <c r="I124" s="219"/>
      <c r="J124" s="219"/>
    </row>
    <row r="125" spans="1:10" ht="29.1" customHeight="1" x14ac:dyDescent="0.15">
      <c r="A125" s="221"/>
      <c r="B125" s="221"/>
      <c r="C125" s="209" t="s">
        <v>161</v>
      </c>
      <c r="D125" s="210" t="s">
        <v>133</v>
      </c>
      <c r="E125" s="212">
        <v>68</v>
      </c>
      <c r="F125" s="212">
        <v>10841</v>
      </c>
      <c r="G125" s="212">
        <v>737188</v>
      </c>
      <c r="H125" s="212">
        <v>1627</v>
      </c>
      <c r="I125" s="212">
        <v>110636</v>
      </c>
      <c r="J125" s="212">
        <v>626552</v>
      </c>
    </row>
    <row r="126" spans="1:10" ht="14.1" customHeight="1" x14ac:dyDescent="0.15">
      <c r="A126" s="221"/>
      <c r="B126" s="213" t="s">
        <v>76</v>
      </c>
      <c r="C126" s="211" t="s">
        <v>67</v>
      </c>
      <c r="D126" s="210" t="s">
        <v>77</v>
      </c>
      <c r="E126" s="212">
        <v>1</v>
      </c>
      <c r="F126" s="212">
        <v>6828</v>
      </c>
      <c r="G126" s="212">
        <v>6828</v>
      </c>
      <c r="H126" s="212">
        <v>0</v>
      </c>
      <c r="I126" s="212">
        <v>0</v>
      </c>
      <c r="J126" s="212">
        <v>6828</v>
      </c>
    </row>
    <row r="127" spans="1:10" ht="29.1" customHeight="1" x14ac:dyDescent="0.15">
      <c r="A127" s="221"/>
      <c r="B127" s="222" t="s">
        <v>167</v>
      </c>
      <c r="C127" s="223" t="s">
        <v>67</v>
      </c>
      <c r="D127" s="210" t="s">
        <v>85</v>
      </c>
      <c r="E127" s="212">
        <v>1</v>
      </c>
      <c r="F127" s="212">
        <v>26911</v>
      </c>
      <c r="G127" s="212">
        <v>26911</v>
      </c>
      <c r="H127" s="212">
        <v>0</v>
      </c>
      <c r="I127" s="212">
        <v>0</v>
      </c>
      <c r="J127" s="212">
        <v>26911</v>
      </c>
    </row>
    <row r="128" spans="1:10" ht="14.1" customHeight="1" x14ac:dyDescent="0.15">
      <c r="A128" s="221"/>
      <c r="B128" s="221"/>
      <c r="C128" s="221"/>
      <c r="D128" s="210" t="s">
        <v>141</v>
      </c>
      <c r="E128" s="212">
        <v>9</v>
      </c>
      <c r="F128" s="212">
        <v>13127</v>
      </c>
      <c r="G128" s="212">
        <v>118143</v>
      </c>
      <c r="H128" s="212">
        <v>0</v>
      </c>
      <c r="I128" s="212">
        <v>0</v>
      </c>
      <c r="J128" s="212">
        <v>118143</v>
      </c>
    </row>
    <row r="129" spans="1:10" ht="14.1" customHeight="1" x14ac:dyDescent="0.15">
      <c r="A129" s="221"/>
      <c r="B129" s="221"/>
      <c r="C129" s="221"/>
      <c r="D129" s="210" t="s">
        <v>78</v>
      </c>
      <c r="E129" s="212">
        <v>5</v>
      </c>
      <c r="F129" s="212">
        <v>13127</v>
      </c>
      <c r="G129" s="212">
        <v>65635</v>
      </c>
      <c r="H129" s="212">
        <v>0</v>
      </c>
      <c r="I129" s="212">
        <v>0</v>
      </c>
      <c r="J129" s="212">
        <v>65635</v>
      </c>
    </row>
    <row r="130" spans="1:10" ht="14.1" customHeight="1" x14ac:dyDescent="0.15">
      <c r="A130" s="221"/>
      <c r="B130" s="221"/>
      <c r="C130" s="221"/>
      <c r="D130" s="210" t="s">
        <v>83</v>
      </c>
      <c r="E130" s="212">
        <v>1</v>
      </c>
      <c r="F130" s="212">
        <v>10040</v>
      </c>
      <c r="G130" s="212">
        <v>10040</v>
      </c>
      <c r="H130" s="212">
        <v>0</v>
      </c>
      <c r="I130" s="212">
        <v>0</v>
      </c>
      <c r="J130" s="212">
        <v>10040</v>
      </c>
    </row>
    <row r="131" spans="1:10" ht="29.1" customHeight="1" x14ac:dyDescent="0.15">
      <c r="A131" s="221"/>
      <c r="B131" s="221"/>
      <c r="C131" s="222" t="s">
        <v>159</v>
      </c>
      <c r="D131" s="210" t="s">
        <v>70</v>
      </c>
      <c r="E131" s="212">
        <v>59</v>
      </c>
      <c r="F131" s="212">
        <v>3986</v>
      </c>
      <c r="G131" s="212">
        <v>235174</v>
      </c>
      <c r="H131" s="212">
        <v>1421</v>
      </c>
      <c r="I131" s="212">
        <v>83839</v>
      </c>
      <c r="J131" s="212">
        <v>151335</v>
      </c>
    </row>
    <row r="132" spans="1:10" ht="14.1" customHeight="1" x14ac:dyDescent="0.15">
      <c r="A132" s="221"/>
      <c r="B132" s="221"/>
      <c r="C132" s="221"/>
      <c r="D132" s="210" t="s">
        <v>73</v>
      </c>
      <c r="E132" s="212">
        <v>9</v>
      </c>
      <c r="F132" s="212">
        <v>14548</v>
      </c>
      <c r="G132" s="212">
        <v>130932</v>
      </c>
      <c r="H132" s="212">
        <v>1421</v>
      </c>
      <c r="I132" s="212">
        <v>12789</v>
      </c>
      <c r="J132" s="212">
        <v>118143</v>
      </c>
    </row>
    <row r="133" spans="1:10" ht="29.1" customHeight="1" x14ac:dyDescent="0.15">
      <c r="A133" s="221"/>
      <c r="B133" s="221"/>
      <c r="C133" s="209" t="s">
        <v>160</v>
      </c>
      <c r="D133" s="210" t="s">
        <v>70</v>
      </c>
      <c r="E133" s="212">
        <v>40</v>
      </c>
      <c r="F133" s="212">
        <v>3599</v>
      </c>
      <c r="G133" s="212">
        <v>143980</v>
      </c>
      <c r="H133" s="212">
        <v>1367</v>
      </c>
      <c r="I133" s="212">
        <v>54680</v>
      </c>
      <c r="J133" s="212">
        <v>89300</v>
      </c>
    </row>
    <row r="134" spans="1:10" ht="29.1" customHeight="1" x14ac:dyDescent="0.15">
      <c r="A134" s="221"/>
      <c r="B134" s="221"/>
      <c r="C134" s="222" t="s">
        <v>161</v>
      </c>
      <c r="D134" s="210" t="s">
        <v>70</v>
      </c>
      <c r="E134" s="212">
        <v>4666</v>
      </c>
      <c r="F134" s="212">
        <v>3267</v>
      </c>
      <c r="G134" s="212">
        <v>15243822</v>
      </c>
      <c r="H134" s="212">
        <v>702</v>
      </c>
      <c r="I134" s="212">
        <v>3275532</v>
      </c>
      <c r="J134" s="212">
        <v>11968290</v>
      </c>
    </row>
    <row r="135" spans="1:10" ht="14.1" customHeight="1" x14ac:dyDescent="0.15">
      <c r="A135" s="221"/>
      <c r="B135" s="221"/>
      <c r="C135" s="221"/>
      <c r="D135" s="210" t="s">
        <v>79</v>
      </c>
      <c r="E135" s="212">
        <v>54</v>
      </c>
      <c r="F135" s="212">
        <v>27613</v>
      </c>
      <c r="G135" s="212">
        <v>1491102</v>
      </c>
      <c r="H135" s="212">
        <v>702</v>
      </c>
      <c r="I135" s="212">
        <v>37908</v>
      </c>
      <c r="J135" s="212">
        <v>1453194</v>
      </c>
    </row>
    <row r="136" spans="1:10" ht="14.1" customHeight="1" x14ac:dyDescent="0.15">
      <c r="A136" s="221"/>
      <c r="B136" s="221"/>
      <c r="C136" s="221"/>
      <c r="D136" s="210" t="s">
        <v>73</v>
      </c>
      <c r="E136" s="212">
        <v>1013</v>
      </c>
      <c r="F136" s="212">
        <v>13829</v>
      </c>
      <c r="G136" s="212">
        <v>14008777</v>
      </c>
      <c r="H136" s="212">
        <v>702</v>
      </c>
      <c r="I136" s="212">
        <v>711126</v>
      </c>
      <c r="J136" s="212">
        <v>13297651</v>
      </c>
    </row>
    <row r="137" spans="1:10" ht="14.1" customHeight="1" x14ac:dyDescent="0.15">
      <c r="A137" s="221"/>
      <c r="B137" s="221"/>
      <c r="C137" s="221"/>
      <c r="D137" s="210" t="s">
        <v>71</v>
      </c>
      <c r="E137" s="212">
        <v>44</v>
      </c>
      <c r="F137" s="212">
        <v>7530</v>
      </c>
      <c r="G137" s="212">
        <v>331320</v>
      </c>
      <c r="H137" s="212">
        <v>702</v>
      </c>
      <c r="I137" s="212">
        <v>30888</v>
      </c>
      <c r="J137" s="212">
        <v>300432</v>
      </c>
    </row>
    <row r="138" spans="1:10" ht="29.1" customHeight="1" x14ac:dyDescent="0.15">
      <c r="A138" s="222" t="s">
        <v>151</v>
      </c>
      <c r="B138" s="221" t="s">
        <v>53</v>
      </c>
      <c r="C138" s="221"/>
      <c r="D138" s="221"/>
      <c r="E138" s="212">
        <v>53579</v>
      </c>
      <c r="F138" s="212">
        <v>1088483</v>
      </c>
      <c r="G138" s="212">
        <v>655905105</v>
      </c>
      <c r="H138" s="212"/>
      <c r="I138" s="212">
        <v>77541610</v>
      </c>
      <c r="J138" s="212">
        <v>578363495</v>
      </c>
    </row>
    <row r="139" spans="1:10" ht="14.1" customHeight="1" x14ac:dyDescent="0.15">
      <c r="A139" s="221"/>
      <c r="B139" s="210" t="s">
        <v>63</v>
      </c>
      <c r="C139" s="210" t="s">
        <v>64</v>
      </c>
      <c r="D139" s="210" t="s">
        <v>65</v>
      </c>
      <c r="E139" s="218">
        <v>15</v>
      </c>
      <c r="F139" s="218">
        <v>10139</v>
      </c>
      <c r="G139" s="218">
        <v>152085</v>
      </c>
      <c r="H139" s="218">
        <v>0</v>
      </c>
      <c r="I139" s="218">
        <v>0</v>
      </c>
      <c r="J139" s="218">
        <v>152085</v>
      </c>
    </row>
    <row r="140" spans="1:10" ht="14.1" customHeight="1" x14ac:dyDescent="0.15">
      <c r="A140" s="221"/>
      <c r="B140" s="220" t="s">
        <v>66</v>
      </c>
      <c r="C140" s="223" t="s">
        <v>67</v>
      </c>
      <c r="D140" s="210" t="s">
        <v>134</v>
      </c>
      <c r="E140" s="219"/>
      <c r="F140" s="219"/>
      <c r="G140" s="219"/>
      <c r="H140" s="219"/>
      <c r="I140" s="219"/>
      <c r="J140" s="219"/>
    </row>
    <row r="141" spans="1:10" ht="14.1" customHeight="1" x14ac:dyDescent="0.15">
      <c r="A141" s="221"/>
      <c r="B141" s="221"/>
      <c r="C141" s="221"/>
      <c r="D141" s="210" t="s">
        <v>132</v>
      </c>
      <c r="E141" s="212">
        <v>11</v>
      </c>
      <c r="F141" s="212">
        <v>10139</v>
      </c>
      <c r="G141" s="212">
        <v>111529</v>
      </c>
      <c r="H141" s="212">
        <v>0</v>
      </c>
      <c r="I141" s="212">
        <v>0</v>
      </c>
      <c r="J141" s="212">
        <v>111529</v>
      </c>
    </row>
    <row r="142" spans="1:10" ht="29.1" customHeight="1" x14ac:dyDescent="0.15">
      <c r="A142" s="221"/>
      <c r="B142" s="221"/>
      <c r="C142" s="209" t="s">
        <v>159</v>
      </c>
      <c r="D142" s="210" t="s">
        <v>133</v>
      </c>
      <c r="E142" s="212">
        <v>3</v>
      </c>
      <c r="F142" s="212">
        <v>11560</v>
      </c>
      <c r="G142" s="212">
        <v>34680</v>
      </c>
      <c r="H142" s="212">
        <v>2346</v>
      </c>
      <c r="I142" s="212">
        <v>7038</v>
      </c>
      <c r="J142" s="212">
        <v>27642</v>
      </c>
    </row>
    <row r="143" spans="1:10" ht="29.1" customHeight="1" x14ac:dyDescent="0.15">
      <c r="A143" s="221"/>
      <c r="B143" s="221"/>
      <c r="C143" s="209" t="s">
        <v>161</v>
      </c>
      <c r="D143" s="210" t="s">
        <v>133</v>
      </c>
      <c r="E143" s="212">
        <v>4655</v>
      </c>
      <c r="F143" s="212">
        <v>10844</v>
      </c>
      <c r="G143" s="212">
        <v>50479954</v>
      </c>
      <c r="H143" s="212">
        <v>1627</v>
      </c>
      <c r="I143" s="212">
        <v>7573685</v>
      </c>
      <c r="J143" s="212">
        <v>42906269</v>
      </c>
    </row>
    <row r="144" spans="1:10" ht="14.1" customHeight="1" x14ac:dyDescent="0.15">
      <c r="A144" s="221"/>
      <c r="B144" s="220" t="s">
        <v>162</v>
      </c>
      <c r="C144" s="223" t="s">
        <v>108</v>
      </c>
      <c r="D144" s="210" t="s">
        <v>163</v>
      </c>
      <c r="E144" s="212">
        <v>49</v>
      </c>
      <c r="F144" s="212">
        <v>23712</v>
      </c>
      <c r="G144" s="212">
        <v>1161888</v>
      </c>
      <c r="H144" s="212">
        <v>3932</v>
      </c>
      <c r="I144" s="212">
        <v>192668</v>
      </c>
      <c r="J144" s="212">
        <v>969220</v>
      </c>
    </row>
    <row r="145" spans="1:10" ht="14.1" customHeight="1" x14ac:dyDescent="0.15">
      <c r="A145" s="221"/>
      <c r="B145" s="221"/>
      <c r="C145" s="221"/>
      <c r="D145" s="210" t="s">
        <v>165</v>
      </c>
      <c r="E145" s="212">
        <v>628</v>
      </c>
      <c r="F145" s="212">
        <v>20422</v>
      </c>
      <c r="G145" s="212">
        <v>12825016</v>
      </c>
      <c r="H145" s="212">
        <v>3932</v>
      </c>
      <c r="I145" s="212">
        <v>2469296</v>
      </c>
      <c r="J145" s="212">
        <v>10355720</v>
      </c>
    </row>
    <row r="146" spans="1:10" ht="29.1" customHeight="1" x14ac:dyDescent="0.15">
      <c r="A146" s="221"/>
      <c r="B146" s="222" t="s">
        <v>167</v>
      </c>
      <c r="C146" s="223" t="s">
        <v>67</v>
      </c>
      <c r="D146" s="210" t="s">
        <v>152</v>
      </c>
      <c r="E146" s="212">
        <v>1</v>
      </c>
      <c r="F146" s="212">
        <v>61212</v>
      </c>
      <c r="G146" s="212">
        <v>61212</v>
      </c>
      <c r="H146" s="212">
        <v>0</v>
      </c>
      <c r="I146" s="212">
        <v>0</v>
      </c>
      <c r="J146" s="212">
        <v>61212</v>
      </c>
    </row>
    <row r="147" spans="1:10" ht="14.1" customHeight="1" x14ac:dyDescent="0.15">
      <c r="A147" s="221"/>
      <c r="B147" s="221"/>
      <c r="C147" s="221"/>
      <c r="D147" s="210" t="s">
        <v>85</v>
      </c>
      <c r="E147" s="212">
        <v>1</v>
      </c>
      <c r="F147" s="212">
        <v>26911</v>
      </c>
      <c r="G147" s="212">
        <v>26911</v>
      </c>
      <c r="H147" s="212">
        <v>0</v>
      </c>
      <c r="I147" s="212">
        <v>0</v>
      </c>
      <c r="J147" s="212">
        <v>26911</v>
      </c>
    </row>
    <row r="148" spans="1:10" ht="14.1" customHeight="1" x14ac:dyDescent="0.15">
      <c r="A148" s="221"/>
      <c r="B148" s="221"/>
      <c r="C148" s="221"/>
      <c r="D148" s="210" t="s">
        <v>141</v>
      </c>
      <c r="E148" s="212">
        <v>10</v>
      </c>
      <c r="F148" s="212">
        <v>13127</v>
      </c>
      <c r="G148" s="212">
        <v>131270</v>
      </c>
      <c r="H148" s="212">
        <v>0</v>
      </c>
      <c r="I148" s="212">
        <v>0</v>
      </c>
      <c r="J148" s="212">
        <v>131270</v>
      </c>
    </row>
    <row r="149" spans="1:10" ht="14.1" customHeight="1" x14ac:dyDescent="0.15">
      <c r="A149" s="221"/>
      <c r="B149" s="221"/>
      <c r="C149" s="221"/>
      <c r="D149" s="210" t="s">
        <v>78</v>
      </c>
      <c r="E149" s="212">
        <v>10</v>
      </c>
      <c r="F149" s="212">
        <v>13127</v>
      </c>
      <c r="G149" s="212">
        <v>131270</v>
      </c>
      <c r="H149" s="212">
        <v>0</v>
      </c>
      <c r="I149" s="212">
        <v>0</v>
      </c>
      <c r="J149" s="212">
        <v>131270</v>
      </c>
    </row>
    <row r="150" spans="1:10" ht="14.1" customHeight="1" x14ac:dyDescent="0.15">
      <c r="A150" s="221"/>
      <c r="B150" s="221"/>
      <c r="C150" s="221"/>
      <c r="D150" s="210" t="s">
        <v>146</v>
      </c>
      <c r="E150" s="212">
        <v>1</v>
      </c>
      <c r="F150" s="212">
        <v>10040</v>
      </c>
      <c r="G150" s="212">
        <v>10040</v>
      </c>
      <c r="H150" s="212">
        <v>0</v>
      </c>
      <c r="I150" s="212">
        <v>0</v>
      </c>
      <c r="J150" s="212">
        <v>10040</v>
      </c>
    </row>
    <row r="151" spans="1:10" ht="14.1" customHeight="1" x14ac:dyDescent="0.15">
      <c r="A151" s="221"/>
      <c r="B151" s="221"/>
      <c r="C151" s="221"/>
      <c r="D151" s="210" t="s">
        <v>83</v>
      </c>
      <c r="E151" s="212">
        <v>3</v>
      </c>
      <c r="F151" s="212">
        <v>10040</v>
      </c>
      <c r="G151" s="212">
        <v>30120</v>
      </c>
      <c r="H151" s="212">
        <v>0</v>
      </c>
      <c r="I151" s="212">
        <v>0</v>
      </c>
      <c r="J151" s="212">
        <v>30120</v>
      </c>
    </row>
    <row r="152" spans="1:10" ht="14.1" customHeight="1" x14ac:dyDescent="0.15">
      <c r="A152" s="221"/>
      <c r="B152" s="221"/>
      <c r="C152" s="221"/>
      <c r="D152" s="210" t="s">
        <v>136</v>
      </c>
      <c r="E152" s="212">
        <v>5</v>
      </c>
      <c r="F152" s="212">
        <v>6828</v>
      </c>
      <c r="G152" s="212">
        <v>34140</v>
      </c>
      <c r="H152" s="212">
        <v>0</v>
      </c>
      <c r="I152" s="212">
        <v>0</v>
      </c>
      <c r="J152" s="212">
        <v>34140</v>
      </c>
    </row>
    <row r="153" spans="1:10" ht="14.1" customHeight="1" x14ac:dyDescent="0.15">
      <c r="A153" s="221"/>
      <c r="B153" s="221"/>
      <c r="C153" s="221"/>
      <c r="D153" s="210" t="s">
        <v>77</v>
      </c>
      <c r="E153" s="212">
        <v>42</v>
      </c>
      <c r="F153" s="212">
        <v>6828</v>
      </c>
      <c r="G153" s="212">
        <v>286776</v>
      </c>
      <c r="H153" s="212">
        <v>0</v>
      </c>
      <c r="I153" s="212">
        <v>0</v>
      </c>
      <c r="J153" s="212">
        <v>286776</v>
      </c>
    </row>
    <row r="154" spans="1:10" ht="14.1" customHeight="1" x14ac:dyDescent="0.15">
      <c r="A154" s="221"/>
      <c r="B154" s="221"/>
      <c r="C154" s="221"/>
      <c r="D154" s="210" t="s">
        <v>147</v>
      </c>
      <c r="E154" s="212">
        <v>1</v>
      </c>
      <c r="F154" s="212">
        <v>2410</v>
      </c>
      <c r="G154" s="212">
        <v>2410</v>
      </c>
      <c r="H154" s="212">
        <v>0</v>
      </c>
      <c r="I154" s="212">
        <v>0</v>
      </c>
      <c r="J154" s="212">
        <v>2410</v>
      </c>
    </row>
    <row r="155" spans="1:10" ht="14.1" customHeight="1" x14ac:dyDescent="0.15">
      <c r="A155" s="221"/>
      <c r="B155" s="221"/>
      <c r="C155" s="221"/>
      <c r="D155" s="210" t="s">
        <v>153</v>
      </c>
      <c r="E155" s="212">
        <v>2</v>
      </c>
      <c r="F155" s="212">
        <v>24193</v>
      </c>
      <c r="G155" s="212">
        <v>48386</v>
      </c>
      <c r="H155" s="212">
        <v>0</v>
      </c>
      <c r="I155" s="212">
        <v>0</v>
      </c>
      <c r="J155" s="212">
        <v>48386</v>
      </c>
    </row>
    <row r="156" spans="1:10" ht="14.1" customHeight="1" x14ac:dyDescent="0.15">
      <c r="A156" s="221"/>
      <c r="B156" s="221"/>
      <c r="C156" s="221"/>
      <c r="D156" s="210" t="s">
        <v>68</v>
      </c>
      <c r="E156" s="212">
        <v>90</v>
      </c>
      <c r="F156" s="212">
        <v>24193</v>
      </c>
      <c r="G156" s="212">
        <v>2177370</v>
      </c>
      <c r="H156" s="212">
        <v>0</v>
      </c>
      <c r="I156" s="212">
        <v>0</v>
      </c>
      <c r="J156" s="212">
        <v>2177370</v>
      </c>
    </row>
    <row r="157" spans="1:10" ht="14.1" customHeight="1" x14ac:dyDescent="0.15">
      <c r="A157" s="221"/>
      <c r="B157" s="221"/>
      <c r="C157" s="221"/>
      <c r="D157" s="210" t="s">
        <v>142</v>
      </c>
      <c r="E157" s="212">
        <v>2</v>
      </c>
      <c r="F157" s="212">
        <v>4097</v>
      </c>
      <c r="G157" s="212">
        <v>8194</v>
      </c>
      <c r="H157" s="212">
        <v>0</v>
      </c>
      <c r="I157" s="212">
        <v>0</v>
      </c>
      <c r="J157" s="212">
        <v>8194</v>
      </c>
    </row>
    <row r="158" spans="1:10" ht="14.1" customHeight="1" x14ac:dyDescent="0.15">
      <c r="A158" s="221"/>
      <c r="B158" s="221"/>
      <c r="C158" s="221"/>
      <c r="D158" s="210" t="s">
        <v>143</v>
      </c>
      <c r="E158" s="212">
        <v>13</v>
      </c>
      <c r="F158" s="212">
        <v>5103</v>
      </c>
      <c r="G158" s="212">
        <v>66339</v>
      </c>
      <c r="H158" s="212">
        <v>0</v>
      </c>
      <c r="I158" s="212">
        <v>0</v>
      </c>
      <c r="J158" s="212">
        <v>66339</v>
      </c>
    </row>
    <row r="159" spans="1:10" ht="14.1" customHeight="1" x14ac:dyDescent="0.15">
      <c r="A159" s="221"/>
      <c r="B159" s="221"/>
      <c r="C159" s="221"/>
      <c r="D159" s="210" t="s">
        <v>138</v>
      </c>
      <c r="E159" s="212">
        <v>4</v>
      </c>
      <c r="F159" s="212">
        <v>5103</v>
      </c>
      <c r="G159" s="212">
        <v>20412</v>
      </c>
      <c r="H159" s="212">
        <v>0</v>
      </c>
      <c r="I159" s="212">
        <v>0</v>
      </c>
      <c r="J159" s="212">
        <v>20412</v>
      </c>
    </row>
    <row r="160" spans="1:10" ht="29.1" customHeight="1" x14ac:dyDescent="0.15">
      <c r="A160" s="221"/>
      <c r="B160" s="221"/>
      <c r="C160" s="222" t="s">
        <v>159</v>
      </c>
      <c r="D160" s="210" t="s">
        <v>70</v>
      </c>
      <c r="E160" s="212">
        <v>10</v>
      </c>
      <c r="F160" s="212">
        <v>3986</v>
      </c>
      <c r="G160" s="212">
        <v>39860</v>
      </c>
      <c r="H160" s="212">
        <v>1421</v>
      </c>
      <c r="I160" s="212">
        <v>14210</v>
      </c>
      <c r="J160" s="212">
        <v>25650</v>
      </c>
    </row>
    <row r="161" spans="1:10" ht="14.1" customHeight="1" x14ac:dyDescent="0.15">
      <c r="A161" s="221"/>
      <c r="B161" s="221"/>
      <c r="C161" s="221"/>
      <c r="D161" s="210" t="s">
        <v>79</v>
      </c>
      <c r="E161" s="212">
        <v>3</v>
      </c>
      <c r="F161" s="212">
        <v>28332</v>
      </c>
      <c r="G161" s="212">
        <v>84996</v>
      </c>
      <c r="H161" s="212">
        <v>1421</v>
      </c>
      <c r="I161" s="212">
        <v>4263</v>
      </c>
      <c r="J161" s="212">
        <v>80733</v>
      </c>
    </row>
    <row r="162" spans="1:10" ht="14.1" customHeight="1" x14ac:dyDescent="0.15">
      <c r="A162" s="221"/>
      <c r="B162" s="221"/>
      <c r="C162" s="221"/>
      <c r="D162" s="210" t="s">
        <v>73</v>
      </c>
      <c r="E162" s="212">
        <v>10</v>
      </c>
      <c r="F162" s="212">
        <v>14548</v>
      </c>
      <c r="G162" s="212">
        <v>145480</v>
      </c>
      <c r="H162" s="212">
        <v>1421</v>
      </c>
      <c r="I162" s="212">
        <v>14210</v>
      </c>
      <c r="J162" s="212">
        <v>131270</v>
      </c>
    </row>
    <row r="163" spans="1:10" ht="14.1" customHeight="1" x14ac:dyDescent="0.15">
      <c r="A163" s="221"/>
      <c r="B163" s="221"/>
      <c r="C163" s="221"/>
      <c r="D163" s="210" t="s">
        <v>74</v>
      </c>
      <c r="E163" s="212">
        <v>1</v>
      </c>
      <c r="F163" s="212">
        <v>11461</v>
      </c>
      <c r="G163" s="212">
        <v>11461</v>
      </c>
      <c r="H163" s="212">
        <v>1421</v>
      </c>
      <c r="I163" s="212">
        <v>1421</v>
      </c>
      <c r="J163" s="212">
        <v>10040</v>
      </c>
    </row>
    <row r="164" spans="1:10" ht="14.1" customHeight="1" x14ac:dyDescent="0.15">
      <c r="A164" s="221"/>
      <c r="B164" s="221"/>
      <c r="C164" s="221"/>
      <c r="D164" s="210" t="s">
        <v>71</v>
      </c>
      <c r="E164" s="212">
        <v>50</v>
      </c>
      <c r="F164" s="212">
        <v>8249</v>
      </c>
      <c r="G164" s="212">
        <v>412450</v>
      </c>
      <c r="H164" s="212">
        <v>1421</v>
      </c>
      <c r="I164" s="212">
        <v>71050</v>
      </c>
      <c r="J164" s="212">
        <v>341400</v>
      </c>
    </row>
    <row r="165" spans="1:10" ht="14.1" customHeight="1" x14ac:dyDescent="0.15">
      <c r="A165" s="221"/>
      <c r="B165" s="221"/>
      <c r="C165" s="221"/>
      <c r="D165" s="210" t="s">
        <v>69</v>
      </c>
      <c r="E165" s="212">
        <v>6</v>
      </c>
      <c r="F165" s="212">
        <v>25614</v>
      </c>
      <c r="G165" s="212">
        <v>153684</v>
      </c>
      <c r="H165" s="212">
        <v>1421</v>
      </c>
      <c r="I165" s="212">
        <v>8526</v>
      </c>
      <c r="J165" s="212">
        <v>145158</v>
      </c>
    </row>
    <row r="166" spans="1:10" ht="14.1" customHeight="1" x14ac:dyDescent="0.15">
      <c r="A166" s="221"/>
      <c r="B166" s="221"/>
      <c r="C166" s="221"/>
      <c r="D166" s="210" t="s">
        <v>139</v>
      </c>
      <c r="E166" s="212">
        <v>36</v>
      </c>
      <c r="F166" s="212">
        <v>5518</v>
      </c>
      <c r="G166" s="212">
        <v>198648</v>
      </c>
      <c r="H166" s="212">
        <v>1421</v>
      </c>
      <c r="I166" s="212">
        <v>51156</v>
      </c>
      <c r="J166" s="212">
        <v>147492</v>
      </c>
    </row>
    <row r="167" spans="1:10" ht="14.1" customHeight="1" x14ac:dyDescent="0.15">
      <c r="A167" s="221"/>
      <c r="B167" s="221"/>
      <c r="C167" s="221"/>
      <c r="D167" s="210" t="s">
        <v>140</v>
      </c>
      <c r="E167" s="212">
        <v>7</v>
      </c>
      <c r="F167" s="212">
        <v>6524</v>
      </c>
      <c r="G167" s="212">
        <v>45668</v>
      </c>
      <c r="H167" s="212">
        <v>1421</v>
      </c>
      <c r="I167" s="212">
        <v>9947</v>
      </c>
      <c r="J167" s="212">
        <v>35721</v>
      </c>
    </row>
    <row r="168" spans="1:10" ht="29.1" customHeight="1" x14ac:dyDescent="0.15">
      <c r="A168" s="221"/>
      <c r="B168" s="221"/>
      <c r="C168" s="222" t="s">
        <v>160</v>
      </c>
      <c r="D168" s="210" t="s">
        <v>73</v>
      </c>
      <c r="E168" s="212">
        <v>3</v>
      </c>
      <c r="F168" s="212">
        <v>13829</v>
      </c>
      <c r="G168" s="212">
        <v>41487</v>
      </c>
      <c r="H168" s="212">
        <v>1367</v>
      </c>
      <c r="I168" s="212">
        <v>4101</v>
      </c>
      <c r="J168" s="212">
        <v>37386</v>
      </c>
    </row>
    <row r="169" spans="1:10" ht="14.1" customHeight="1" x14ac:dyDescent="0.15">
      <c r="A169" s="221"/>
      <c r="B169" s="221"/>
      <c r="C169" s="221"/>
      <c r="D169" s="210" t="s">
        <v>71</v>
      </c>
      <c r="E169" s="212">
        <v>11</v>
      </c>
      <c r="F169" s="212">
        <v>7832</v>
      </c>
      <c r="G169" s="212">
        <v>86155</v>
      </c>
      <c r="H169" s="212">
        <v>1367</v>
      </c>
      <c r="I169" s="212">
        <v>15037</v>
      </c>
      <c r="J169" s="212">
        <v>71118</v>
      </c>
    </row>
    <row r="170" spans="1:10" ht="14.1" customHeight="1" x14ac:dyDescent="0.15">
      <c r="A170" s="221"/>
      <c r="B170" s="221"/>
      <c r="C170" s="221"/>
      <c r="D170" s="210" t="s">
        <v>139</v>
      </c>
      <c r="E170" s="212">
        <v>12</v>
      </c>
      <c r="F170" s="212">
        <v>5298</v>
      </c>
      <c r="G170" s="212">
        <v>63573</v>
      </c>
      <c r="H170" s="212">
        <v>1367</v>
      </c>
      <c r="I170" s="212">
        <v>16404</v>
      </c>
      <c r="J170" s="212">
        <v>47169</v>
      </c>
    </row>
    <row r="171" spans="1:10" ht="29.1" customHeight="1" x14ac:dyDescent="0.15">
      <c r="A171" s="221"/>
      <c r="B171" s="221"/>
      <c r="C171" s="222" t="s">
        <v>161</v>
      </c>
      <c r="D171" s="210" t="s">
        <v>70</v>
      </c>
      <c r="E171" s="212">
        <v>156</v>
      </c>
      <c r="F171" s="212">
        <v>3272</v>
      </c>
      <c r="G171" s="212">
        <v>510371</v>
      </c>
      <c r="H171" s="212">
        <v>702</v>
      </c>
      <c r="I171" s="212">
        <v>109512</v>
      </c>
      <c r="J171" s="212">
        <v>400859</v>
      </c>
    </row>
    <row r="172" spans="1:10" ht="14.1" customHeight="1" x14ac:dyDescent="0.15">
      <c r="A172" s="221"/>
      <c r="B172" s="221"/>
      <c r="C172" s="221"/>
      <c r="D172" s="210" t="s">
        <v>88</v>
      </c>
      <c r="E172" s="212">
        <v>85</v>
      </c>
      <c r="F172" s="212">
        <v>61914</v>
      </c>
      <c r="G172" s="212">
        <v>5262690</v>
      </c>
      <c r="H172" s="212">
        <v>702</v>
      </c>
      <c r="I172" s="212">
        <v>59670</v>
      </c>
      <c r="J172" s="212">
        <v>5203020</v>
      </c>
    </row>
    <row r="173" spans="1:10" ht="14.1" customHeight="1" x14ac:dyDescent="0.15">
      <c r="A173" s="221"/>
      <c r="B173" s="221"/>
      <c r="C173" s="221"/>
      <c r="D173" s="210" t="s">
        <v>101</v>
      </c>
      <c r="E173" s="212">
        <v>2</v>
      </c>
      <c r="F173" s="212">
        <v>45688</v>
      </c>
      <c r="G173" s="212">
        <v>91376</v>
      </c>
      <c r="H173" s="212">
        <v>702</v>
      </c>
      <c r="I173" s="212">
        <v>1404</v>
      </c>
      <c r="J173" s="212">
        <v>89972</v>
      </c>
    </row>
    <row r="174" spans="1:10" ht="14.1" customHeight="1" x14ac:dyDescent="0.15">
      <c r="A174" s="221"/>
      <c r="B174" s="221"/>
      <c r="C174" s="221"/>
      <c r="D174" s="210" t="s">
        <v>79</v>
      </c>
      <c r="E174" s="212">
        <v>1378</v>
      </c>
      <c r="F174" s="212">
        <v>27613</v>
      </c>
      <c r="G174" s="212">
        <v>38050714</v>
      </c>
      <c r="H174" s="212">
        <v>702</v>
      </c>
      <c r="I174" s="212">
        <v>967356</v>
      </c>
      <c r="J174" s="212">
        <v>37083358</v>
      </c>
    </row>
    <row r="175" spans="1:10" ht="14.1" customHeight="1" x14ac:dyDescent="0.15">
      <c r="A175" s="221"/>
      <c r="B175" s="221"/>
      <c r="C175" s="221"/>
      <c r="D175" s="210" t="s">
        <v>73</v>
      </c>
      <c r="E175" s="212">
        <v>4581</v>
      </c>
      <c r="F175" s="212">
        <v>13830</v>
      </c>
      <c r="G175" s="212">
        <v>63354963</v>
      </c>
      <c r="H175" s="212">
        <v>702</v>
      </c>
      <c r="I175" s="212">
        <v>3215862</v>
      </c>
      <c r="J175" s="212">
        <v>60139101</v>
      </c>
    </row>
    <row r="176" spans="1:10" ht="14.1" customHeight="1" x14ac:dyDescent="0.15">
      <c r="A176" s="221"/>
      <c r="B176" s="221"/>
      <c r="C176" s="221"/>
      <c r="D176" s="210" t="s">
        <v>74</v>
      </c>
      <c r="E176" s="212">
        <v>258</v>
      </c>
      <c r="F176" s="212">
        <v>10742</v>
      </c>
      <c r="G176" s="212">
        <v>2771436</v>
      </c>
      <c r="H176" s="212">
        <v>702</v>
      </c>
      <c r="I176" s="212">
        <v>181116</v>
      </c>
      <c r="J176" s="212">
        <v>2590320</v>
      </c>
    </row>
    <row r="177" spans="1:10" ht="14.1" customHeight="1" x14ac:dyDescent="0.15">
      <c r="A177" s="221"/>
      <c r="B177" s="221"/>
      <c r="C177" s="221"/>
      <c r="D177" s="210" t="s">
        <v>71</v>
      </c>
      <c r="E177" s="212">
        <v>2871</v>
      </c>
      <c r="F177" s="212">
        <v>7531</v>
      </c>
      <c r="G177" s="212">
        <v>21620787</v>
      </c>
      <c r="H177" s="212">
        <v>702</v>
      </c>
      <c r="I177" s="212">
        <v>2015442</v>
      </c>
      <c r="J177" s="212">
        <v>19605345</v>
      </c>
    </row>
    <row r="178" spans="1:10" ht="14.1" customHeight="1" x14ac:dyDescent="0.15">
      <c r="A178" s="221"/>
      <c r="B178" s="221"/>
      <c r="C178" s="221"/>
      <c r="D178" s="210" t="s">
        <v>72</v>
      </c>
      <c r="E178" s="212">
        <v>68</v>
      </c>
      <c r="F178" s="212">
        <v>4953</v>
      </c>
      <c r="G178" s="212">
        <v>336804</v>
      </c>
      <c r="H178" s="212">
        <v>702</v>
      </c>
      <c r="I178" s="212">
        <v>47736</v>
      </c>
      <c r="J178" s="212">
        <v>289068</v>
      </c>
    </row>
    <row r="179" spans="1:10" ht="14.1" customHeight="1" x14ac:dyDescent="0.15">
      <c r="A179" s="221"/>
      <c r="B179" s="221"/>
      <c r="C179" s="221"/>
      <c r="D179" s="210" t="s">
        <v>82</v>
      </c>
      <c r="E179" s="212">
        <v>9</v>
      </c>
      <c r="F179" s="212">
        <v>3112</v>
      </c>
      <c r="G179" s="212">
        <v>28008</v>
      </c>
      <c r="H179" s="212">
        <v>702</v>
      </c>
      <c r="I179" s="212">
        <v>6318</v>
      </c>
      <c r="J179" s="212">
        <v>21690</v>
      </c>
    </row>
    <row r="180" spans="1:10" ht="14.1" customHeight="1" x14ac:dyDescent="0.15">
      <c r="A180" s="221"/>
      <c r="B180" s="221"/>
      <c r="C180" s="221"/>
      <c r="D180" s="210" t="s">
        <v>75</v>
      </c>
      <c r="E180" s="212">
        <v>1</v>
      </c>
      <c r="F180" s="212">
        <v>1907</v>
      </c>
      <c r="G180" s="212">
        <v>1907</v>
      </c>
      <c r="H180" s="212">
        <v>702</v>
      </c>
      <c r="I180" s="212">
        <v>702</v>
      </c>
      <c r="J180" s="212">
        <v>1205</v>
      </c>
    </row>
    <row r="181" spans="1:10" ht="14.1" customHeight="1" x14ac:dyDescent="0.15">
      <c r="A181" s="221"/>
      <c r="B181" s="221"/>
      <c r="C181" s="221"/>
      <c r="D181" s="210" t="s">
        <v>92</v>
      </c>
      <c r="E181" s="212">
        <v>2</v>
      </c>
      <c r="F181" s="212">
        <v>1244</v>
      </c>
      <c r="G181" s="212">
        <v>2488</v>
      </c>
      <c r="H181" s="212">
        <v>702</v>
      </c>
      <c r="I181" s="212">
        <v>1404</v>
      </c>
      <c r="J181" s="212">
        <v>1084</v>
      </c>
    </row>
    <row r="182" spans="1:10" ht="14.1" customHeight="1" x14ac:dyDescent="0.15">
      <c r="A182" s="221"/>
      <c r="B182" s="221"/>
      <c r="C182" s="221"/>
      <c r="D182" s="210" t="s">
        <v>69</v>
      </c>
      <c r="E182" s="212">
        <v>46</v>
      </c>
      <c r="F182" s="212">
        <v>24895</v>
      </c>
      <c r="G182" s="212">
        <v>1145170</v>
      </c>
      <c r="H182" s="212">
        <v>702</v>
      </c>
      <c r="I182" s="212">
        <v>32292</v>
      </c>
      <c r="J182" s="212">
        <v>1112878</v>
      </c>
    </row>
    <row r="183" spans="1:10" ht="14.1" customHeight="1" x14ac:dyDescent="0.15">
      <c r="A183" s="221"/>
      <c r="B183" s="221"/>
      <c r="C183" s="221"/>
      <c r="D183" s="210" t="s">
        <v>139</v>
      </c>
      <c r="E183" s="212">
        <v>739</v>
      </c>
      <c r="F183" s="212">
        <v>4799</v>
      </c>
      <c r="G183" s="212">
        <v>3546461</v>
      </c>
      <c r="H183" s="212">
        <v>702</v>
      </c>
      <c r="I183" s="212">
        <v>518778</v>
      </c>
      <c r="J183" s="212">
        <v>3027683</v>
      </c>
    </row>
    <row r="184" spans="1:10" ht="14.1" customHeight="1" x14ac:dyDescent="0.15">
      <c r="A184" s="221"/>
      <c r="B184" s="221"/>
      <c r="C184" s="221"/>
      <c r="D184" s="210" t="s">
        <v>140</v>
      </c>
      <c r="E184" s="212">
        <v>1295</v>
      </c>
      <c r="F184" s="212">
        <v>5809</v>
      </c>
      <c r="G184" s="212">
        <v>7523227</v>
      </c>
      <c r="H184" s="212">
        <v>702</v>
      </c>
      <c r="I184" s="212">
        <v>909090</v>
      </c>
      <c r="J184" s="212">
        <v>6614137</v>
      </c>
    </row>
    <row r="185" spans="1:10" ht="14.1" customHeight="1" x14ac:dyDescent="0.15">
      <c r="A185" s="221"/>
      <c r="B185" s="220" t="s">
        <v>168</v>
      </c>
      <c r="C185" s="223" t="s">
        <v>67</v>
      </c>
      <c r="D185" s="210" t="s">
        <v>144</v>
      </c>
      <c r="E185" s="212">
        <v>10</v>
      </c>
      <c r="F185" s="212">
        <v>44986</v>
      </c>
      <c r="G185" s="212">
        <v>449860</v>
      </c>
      <c r="H185" s="212">
        <v>925</v>
      </c>
      <c r="I185" s="212">
        <v>9250</v>
      </c>
      <c r="J185" s="212">
        <v>440610</v>
      </c>
    </row>
    <row r="186" spans="1:10" ht="14.1" customHeight="1" x14ac:dyDescent="0.15">
      <c r="A186" s="221"/>
      <c r="B186" s="221"/>
      <c r="C186" s="221"/>
      <c r="D186" s="210" t="s">
        <v>154</v>
      </c>
      <c r="E186" s="212">
        <v>2</v>
      </c>
      <c r="F186" s="212">
        <v>44986</v>
      </c>
      <c r="G186" s="212">
        <v>89972</v>
      </c>
      <c r="H186" s="212">
        <v>925</v>
      </c>
      <c r="I186" s="212">
        <v>1850</v>
      </c>
      <c r="J186" s="212">
        <v>88122</v>
      </c>
    </row>
    <row r="187" spans="1:10" ht="14.1" customHeight="1" x14ac:dyDescent="0.15">
      <c r="A187" s="221"/>
      <c r="B187" s="221"/>
      <c r="C187" s="221"/>
      <c r="D187" s="210" t="s">
        <v>145</v>
      </c>
      <c r="E187" s="212">
        <v>82</v>
      </c>
      <c r="F187" s="212">
        <v>26911</v>
      </c>
      <c r="G187" s="212">
        <v>2206702</v>
      </c>
      <c r="H187" s="212">
        <v>925</v>
      </c>
      <c r="I187" s="212">
        <v>75850</v>
      </c>
      <c r="J187" s="212">
        <v>2130852</v>
      </c>
    </row>
    <row r="188" spans="1:10" ht="14.1" customHeight="1" x14ac:dyDescent="0.15">
      <c r="A188" s="221"/>
      <c r="B188" s="221"/>
      <c r="C188" s="221"/>
      <c r="D188" s="210" t="s">
        <v>85</v>
      </c>
      <c r="E188" s="212">
        <v>11</v>
      </c>
      <c r="F188" s="212">
        <v>26911</v>
      </c>
      <c r="G188" s="212">
        <v>296021</v>
      </c>
      <c r="H188" s="212">
        <v>925</v>
      </c>
      <c r="I188" s="212">
        <v>10175</v>
      </c>
      <c r="J188" s="212">
        <v>285846</v>
      </c>
    </row>
    <row r="189" spans="1:10" ht="14.1" customHeight="1" x14ac:dyDescent="0.15">
      <c r="A189" s="221"/>
      <c r="B189" s="221"/>
      <c r="C189" s="221"/>
      <c r="D189" s="210" t="s">
        <v>141</v>
      </c>
      <c r="E189" s="212">
        <v>93</v>
      </c>
      <c r="F189" s="212">
        <v>13127</v>
      </c>
      <c r="G189" s="212">
        <v>1220811</v>
      </c>
      <c r="H189" s="212">
        <v>925</v>
      </c>
      <c r="I189" s="212">
        <v>86025</v>
      </c>
      <c r="J189" s="212">
        <v>1134786</v>
      </c>
    </row>
    <row r="190" spans="1:10" ht="14.1" customHeight="1" x14ac:dyDescent="0.15">
      <c r="A190" s="221"/>
      <c r="B190" s="221"/>
      <c r="C190" s="221"/>
      <c r="D190" s="210" t="s">
        <v>78</v>
      </c>
      <c r="E190" s="212">
        <v>4</v>
      </c>
      <c r="F190" s="212">
        <v>13127</v>
      </c>
      <c r="G190" s="212">
        <v>52508</v>
      </c>
      <c r="H190" s="212">
        <v>925</v>
      </c>
      <c r="I190" s="212">
        <v>3700</v>
      </c>
      <c r="J190" s="212">
        <v>48808</v>
      </c>
    </row>
    <row r="191" spans="1:10" ht="14.1" customHeight="1" x14ac:dyDescent="0.15">
      <c r="A191" s="221"/>
      <c r="B191" s="221"/>
      <c r="C191" s="221"/>
      <c r="D191" s="210" t="s">
        <v>146</v>
      </c>
      <c r="E191" s="212">
        <v>150</v>
      </c>
      <c r="F191" s="212">
        <v>10040</v>
      </c>
      <c r="G191" s="212">
        <v>1506000</v>
      </c>
      <c r="H191" s="212">
        <v>925</v>
      </c>
      <c r="I191" s="212">
        <v>138750</v>
      </c>
      <c r="J191" s="212">
        <v>1367250</v>
      </c>
    </row>
    <row r="192" spans="1:10" ht="14.1" customHeight="1" x14ac:dyDescent="0.15">
      <c r="A192" s="221"/>
      <c r="B192" s="221"/>
      <c r="C192" s="221"/>
      <c r="D192" s="210" t="s">
        <v>83</v>
      </c>
      <c r="E192" s="212">
        <v>9</v>
      </c>
      <c r="F192" s="212">
        <v>10040</v>
      </c>
      <c r="G192" s="212">
        <v>90360</v>
      </c>
      <c r="H192" s="212">
        <v>925</v>
      </c>
      <c r="I192" s="212">
        <v>8325</v>
      </c>
      <c r="J192" s="212">
        <v>82035</v>
      </c>
    </row>
    <row r="193" spans="1:10" ht="14.1" customHeight="1" x14ac:dyDescent="0.15">
      <c r="A193" s="221"/>
      <c r="B193" s="221"/>
      <c r="C193" s="221"/>
      <c r="D193" s="210" t="s">
        <v>136</v>
      </c>
      <c r="E193" s="212">
        <v>182</v>
      </c>
      <c r="F193" s="212">
        <v>6828</v>
      </c>
      <c r="G193" s="212">
        <v>1242696</v>
      </c>
      <c r="H193" s="212">
        <v>925</v>
      </c>
      <c r="I193" s="212">
        <v>168350</v>
      </c>
      <c r="J193" s="212">
        <v>1074346</v>
      </c>
    </row>
    <row r="194" spans="1:10" ht="14.1" customHeight="1" x14ac:dyDescent="0.15">
      <c r="A194" s="221"/>
      <c r="B194" s="221"/>
      <c r="C194" s="221"/>
      <c r="D194" s="210" t="s">
        <v>77</v>
      </c>
      <c r="E194" s="212">
        <v>48</v>
      </c>
      <c r="F194" s="212">
        <v>6828</v>
      </c>
      <c r="G194" s="212">
        <v>327744</v>
      </c>
      <c r="H194" s="212">
        <v>925</v>
      </c>
      <c r="I194" s="212">
        <v>44400</v>
      </c>
      <c r="J194" s="212">
        <v>283344</v>
      </c>
    </row>
    <row r="195" spans="1:10" ht="14.1" customHeight="1" x14ac:dyDescent="0.15">
      <c r="A195" s="221"/>
      <c r="B195" s="221"/>
      <c r="C195" s="221"/>
      <c r="D195" s="210" t="s">
        <v>149</v>
      </c>
      <c r="E195" s="212">
        <v>2</v>
      </c>
      <c r="F195" s="212">
        <v>4251</v>
      </c>
      <c r="G195" s="212">
        <v>8502</v>
      </c>
      <c r="H195" s="212">
        <v>925</v>
      </c>
      <c r="I195" s="212">
        <v>1850</v>
      </c>
      <c r="J195" s="212">
        <v>6652</v>
      </c>
    </row>
    <row r="196" spans="1:10" ht="14.1" customHeight="1" x14ac:dyDescent="0.15">
      <c r="A196" s="221"/>
      <c r="B196" s="221"/>
      <c r="C196" s="221"/>
      <c r="D196" s="210" t="s">
        <v>147</v>
      </c>
      <c r="E196" s="212">
        <v>9</v>
      </c>
      <c r="F196" s="212">
        <v>2410</v>
      </c>
      <c r="G196" s="212">
        <v>21690</v>
      </c>
      <c r="H196" s="212">
        <v>925</v>
      </c>
      <c r="I196" s="212">
        <v>8325</v>
      </c>
      <c r="J196" s="212">
        <v>13365</v>
      </c>
    </row>
    <row r="197" spans="1:10" ht="14.1" customHeight="1" x14ac:dyDescent="0.15">
      <c r="A197" s="221"/>
      <c r="B197" s="221"/>
      <c r="C197" s="221"/>
      <c r="D197" s="210" t="s">
        <v>84</v>
      </c>
      <c r="E197" s="212">
        <v>2</v>
      </c>
      <c r="F197" s="212">
        <v>2410</v>
      </c>
      <c r="G197" s="212">
        <v>4820</v>
      </c>
      <c r="H197" s="212">
        <v>925</v>
      </c>
      <c r="I197" s="212">
        <v>1850</v>
      </c>
      <c r="J197" s="212">
        <v>2970</v>
      </c>
    </row>
    <row r="198" spans="1:10" ht="14.1" customHeight="1" x14ac:dyDescent="0.15">
      <c r="A198" s="221"/>
      <c r="B198" s="221"/>
      <c r="C198" s="221"/>
      <c r="D198" s="210" t="s">
        <v>148</v>
      </c>
      <c r="E198" s="212">
        <v>6</v>
      </c>
      <c r="F198" s="212">
        <v>1205</v>
      </c>
      <c r="G198" s="212">
        <v>7230</v>
      </c>
      <c r="H198" s="212">
        <v>925</v>
      </c>
      <c r="I198" s="212">
        <v>5550</v>
      </c>
      <c r="J198" s="212">
        <v>1680</v>
      </c>
    </row>
    <row r="199" spans="1:10" ht="14.1" customHeight="1" x14ac:dyDescent="0.15">
      <c r="A199" s="221"/>
      <c r="B199" s="221"/>
      <c r="C199" s="221"/>
      <c r="D199" s="210" t="s">
        <v>102</v>
      </c>
      <c r="E199" s="212">
        <v>1</v>
      </c>
      <c r="F199" s="212">
        <v>542</v>
      </c>
      <c r="G199" s="212">
        <v>542</v>
      </c>
      <c r="H199" s="212">
        <v>925</v>
      </c>
      <c r="I199" s="212">
        <v>925</v>
      </c>
      <c r="J199" s="212">
        <v>-383</v>
      </c>
    </row>
    <row r="200" spans="1:10" ht="29.1" customHeight="1" x14ac:dyDescent="0.15">
      <c r="A200" s="221"/>
      <c r="B200" s="221"/>
      <c r="C200" s="222" t="s">
        <v>159</v>
      </c>
      <c r="D200" s="210" t="s">
        <v>79</v>
      </c>
      <c r="E200" s="212">
        <v>14</v>
      </c>
      <c r="F200" s="212">
        <v>28332</v>
      </c>
      <c r="G200" s="212">
        <v>396648</v>
      </c>
      <c r="H200" s="212">
        <v>2346</v>
      </c>
      <c r="I200" s="212">
        <v>32844</v>
      </c>
      <c r="J200" s="212">
        <v>363804</v>
      </c>
    </row>
    <row r="201" spans="1:10" ht="14.1" customHeight="1" x14ac:dyDescent="0.15">
      <c r="A201" s="221"/>
      <c r="B201" s="221"/>
      <c r="C201" s="221"/>
      <c r="D201" s="210" t="s">
        <v>74</v>
      </c>
      <c r="E201" s="212">
        <v>6</v>
      </c>
      <c r="F201" s="212">
        <v>11461</v>
      </c>
      <c r="G201" s="212">
        <v>68766</v>
      </c>
      <c r="H201" s="212">
        <v>2346</v>
      </c>
      <c r="I201" s="212">
        <v>14076</v>
      </c>
      <c r="J201" s="212">
        <v>54690</v>
      </c>
    </row>
    <row r="202" spans="1:10" ht="14.1" customHeight="1" x14ac:dyDescent="0.15">
      <c r="A202" s="221"/>
      <c r="B202" s="221"/>
      <c r="C202" s="221"/>
      <c r="D202" s="210" t="s">
        <v>71</v>
      </c>
      <c r="E202" s="212">
        <v>313</v>
      </c>
      <c r="F202" s="212">
        <v>8249</v>
      </c>
      <c r="G202" s="212">
        <v>2581937</v>
      </c>
      <c r="H202" s="212">
        <v>2346</v>
      </c>
      <c r="I202" s="212">
        <v>734298</v>
      </c>
      <c r="J202" s="212">
        <v>1847639</v>
      </c>
    </row>
    <row r="203" spans="1:10" ht="29.1" customHeight="1" x14ac:dyDescent="0.15">
      <c r="A203" s="221"/>
      <c r="B203" s="221"/>
      <c r="C203" s="222" t="s">
        <v>161</v>
      </c>
      <c r="D203" s="210" t="s">
        <v>88</v>
      </c>
      <c r="E203" s="212">
        <v>15</v>
      </c>
      <c r="F203" s="212">
        <v>61914</v>
      </c>
      <c r="G203" s="212">
        <v>928710</v>
      </c>
      <c r="H203" s="212">
        <v>1627</v>
      </c>
      <c r="I203" s="212">
        <v>24405</v>
      </c>
      <c r="J203" s="212">
        <v>904305</v>
      </c>
    </row>
    <row r="204" spans="1:10" ht="14.1" customHeight="1" x14ac:dyDescent="0.15">
      <c r="A204" s="221"/>
      <c r="B204" s="221"/>
      <c r="C204" s="221"/>
      <c r="D204" s="210" t="s">
        <v>101</v>
      </c>
      <c r="E204" s="212">
        <v>663</v>
      </c>
      <c r="F204" s="212">
        <v>45688</v>
      </c>
      <c r="G204" s="212">
        <v>30291144</v>
      </c>
      <c r="H204" s="212">
        <v>1627</v>
      </c>
      <c r="I204" s="212">
        <v>1078701</v>
      </c>
      <c r="J204" s="212">
        <v>29212443</v>
      </c>
    </row>
    <row r="205" spans="1:10" ht="14.1" customHeight="1" x14ac:dyDescent="0.15">
      <c r="A205" s="221"/>
      <c r="B205" s="221"/>
      <c r="C205" s="221"/>
      <c r="D205" s="210" t="s">
        <v>79</v>
      </c>
      <c r="E205" s="212">
        <v>3985</v>
      </c>
      <c r="F205" s="212">
        <v>27623</v>
      </c>
      <c r="G205" s="212">
        <v>110076631</v>
      </c>
      <c r="H205" s="212">
        <v>1627</v>
      </c>
      <c r="I205" s="212">
        <v>6483595</v>
      </c>
      <c r="J205" s="212">
        <v>103593036</v>
      </c>
    </row>
    <row r="206" spans="1:10" ht="14.1" customHeight="1" x14ac:dyDescent="0.15">
      <c r="A206" s="221"/>
      <c r="B206" s="221"/>
      <c r="C206" s="221"/>
      <c r="D206" s="210" t="s">
        <v>73</v>
      </c>
      <c r="E206" s="212">
        <v>5774</v>
      </c>
      <c r="F206" s="212">
        <v>13831</v>
      </c>
      <c r="G206" s="212">
        <v>79859431</v>
      </c>
      <c r="H206" s="212">
        <v>1627</v>
      </c>
      <c r="I206" s="212">
        <v>9394298</v>
      </c>
      <c r="J206" s="212">
        <v>70465133</v>
      </c>
    </row>
    <row r="207" spans="1:10" ht="14.1" customHeight="1" x14ac:dyDescent="0.15">
      <c r="A207" s="221"/>
      <c r="B207" s="221"/>
      <c r="C207" s="221"/>
      <c r="D207" s="210" t="s">
        <v>74</v>
      </c>
      <c r="E207" s="212">
        <v>9282</v>
      </c>
      <c r="F207" s="212">
        <v>10744</v>
      </c>
      <c r="G207" s="212">
        <v>99723062</v>
      </c>
      <c r="H207" s="212">
        <v>1627</v>
      </c>
      <c r="I207" s="212">
        <v>15101814</v>
      </c>
      <c r="J207" s="212">
        <v>84621248</v>
      </c>
    </row>
    <row r="208" spans="1:10" ht="14.1" customHeight="1" x14ac:dyDescent="0.15">
      <c r="A208" s="221"/>
      <c r="B208" s="221"/>
      <c r="C208" s="221"/>
      <c r="D208" s="210" t="s">
        <v>71</v>
      </c>
      <c r="E208" s="212">
        <v>14086</v>
      </c>
      <c r="F208" s="212">
        <v>7536</v>
      </c>
      <c r="G208" s="212">
        <v>106151703</v>
      </c>
      <c r="H208" s="212">
        <v>1627</v>
      </c>
      <c r="I208" s="212">
        <v>22917922</v>
      </c>
      <c r="J208" s="212">
        <v>83233781</v>
      </c>
    </row>
    <row r="209" spans="1:10" ht="14.1" customHeight="1" x14ac:dyDescent="0.15">
      <c r="A209" s="221"/>
      <c r="B209" s="221"/>
      <c r="C209" s="221"/>
      <c r="D209" s="210" t="s">
        <v>72</v>
      </c>
      <c r="E209" s="212">
        <v>241</v>
      </c>
      <c r="F209" s="212">
        <v>4953</v>
      </c>
      <c r="G209" s="212">
        <v>1193673</v>
      </c>
      <c r="H209" s="212">
        <v>1627</v>
      </c>
      <c r="I209" s="212">
        <v>392107</v>
      </c>
      <c r="J209" s="212">
        <v>801566</v>
      </c>
    </row>
    <row r="210" spans="1:10" ht="14.1" customHeight="1" x14ac:dyDescent="0.15">
      <c r="A210" s="221"/>
      <c r="B210" s="221"/>
      <c r="C210" s="221"/>
      <c r="D210" s="210" t="s">
        <v>82</v>
      </c>
      <c r="E210" s="212">
        <v>912</v>
      </c>
      <c r="F210" s="212">
        <v>3116</v>
      </c>
      <c r="G210" s="212">
        <v>2841739</v>
      </c>
      <c r="H210" s="212">
        <v>1627</v>
      </c>
      <c r="I210" s="212">
        <v>1483824</v>
      </c>
      <c r="J210" s="212">
        <v>1357915</v>
      </c>
    </row>
    <row r="211" spans="1:10" ht="14.1" customHeight="1" x14ac:dyDescent="0.15">
      <c r="A211" s="221"/>
      <c r="B211" s="221"/>
      <c r="C211" s="221"/>
      <c r="D211" s="210" t="s">
        <v>75</v>
      </c>
      <c r="E211" s="212">
        <v>491</v>
      </c>
      <c r="F211" s="212">
        <v>1907</v>
      </c>
      <c r="G211" s="212">
        <v>936337</v>
      </c>
      <c r="H211" s="212">
        <v>1627</v>
      </c>
      <c r="I211" s="212">
        <v>798857</v>
      </c>
      <c r="J211" s="212">
        <v>137480</v>
      </c>
    </row>
    <row r="212" spans="1:10" ht="14.1" customHeight="1" x14ac:dyDescent="0.15">
      <c r="A212" s="221" t="s">
        <v>2</v>
      </c>
      <c r="B212" s="221" t="s">
        <v>53</v>
      </c>
      <c r="C212" s="221"/>
      <c r="D212" s="221"/>
      <c r="E212" s="212">
        <v>3469</v>
      </c>
      <c r="F212" s="212">
        <v>157827</v>
      </c>
      <c r="G212" s="212">
        <v>38296264</v>
      </c>
      <c r="H212" s="212"/>
      <c r="I212" s="212">
        <v>4430652</v>
      </c>
      <c r="J212" s="212">
        <v>33865612</v>
      </c>
    </row>
    <row r="213" spans="1:10" ht="14.1" customHeight="1" x14ac:dyDescent="0.15">
      <c r="A213" s="221"/>
      <c r="B213" s="210" t="s">
        <v>63</v>
      </c>
      <c r="C213" s="210" t="s">
        <v>64</v>
      </c>
      <c r="D213" s="210" t="s">
        <v>65</v>
      </c>
      <c r="E213" s="218">
        <v>25</v>
      </c>
      <c r="F213" s="218">
        <v>10139</v>
      </c>
      <c r="G213" s="218">
        <v>253475</v>
      </c>
      <c r="H213" s="218">
        <v>0</v>
      </c>
      <c r="I213" s="218">
        <v>0</v>
      </c>
      <c r="J213" s="218">
        <v>253475</v>
      </c>
    </row>
    <row r="214" spans="1:10" ht="14.1" customHeight="1" x14ac:dyDescent="0.15">
      <c r="A214" s="221"/>
      <c r="B214" s="220" t="s">
        <v>66</v>
      </c>
      <c r="C214" s="223" t="s">
        <v>67</v>
      </c>
      <c r="D214" s="210" t="s">
        <v>134</v>
      </c>
      <c r="E214" s="219"/>
      <c r="F214" s="219"/>
      <c r="G214" s="219"/>
      <c r="H214" s="219"/>
      <c r="I214" s="219"/>
      <c r="J214" s="219"/>
    </row>
    <row r="215" spans="1:10" ht="14.1" customHeight="1" x14ac:dyDescent="0.15">
      <c r="A215" s="221"/>
      <c r="B215" s="221"/>
      <c r="C215" s="221"/>
      <c r="D215" s="210" t="s">
        <v>132</v>
      </c>
      <c r="E215" s="212">
        <v>4</v>
      </c>
      <c r="F215" s="212">
        <v>10139</v>
      </c>
      <c r="G215" s="212">
        <v>40556</v>
      </c>
      <c r="H215" s="212">
        <v>0</v>
      </c>
      <c r="I215" s="212">
        <v>0</v>
      </c>
      <c r="J215" s="212">
        <v>40556</v>
      </c>
    </row>
    <row r="216" spans="1:10" ht="29.1" customHeight="1" x14ac:dyDescent="0.15">
      <c r="A216" s="221"/>
      <c r="B216" s="221"/>
      <c r="C216" s="209" t="s">
        <v>159</v>
      </c>
      <c r="D216" s="210" t="s">
        <v>133</v>
      </c>
      <c r="E216" s="212">
        <v>1</v>
      </c>
      <c r="F216" s="212">
        <v>11560</v>
      </c>
      <c r="G216" s="212">
        <v>11560</v>
      </c>
      <c r="H216" s="212">
        <v>2346</v>
      </c>
      <c r="I216" s="212">
        <v>2346</v>
      </c>
      <c r="J216" s="212">
        <v>9214</v>
      </c>
    </row>
    <row r="217" spans="1:10" ht="29.1" customHeight="1" x14ac:dyDescent="0.15">
      <c r="A217" s="221"/>
      <c r="B217" s="221"/>
      <c r="C217" s="209" t="s">
        <v>161</v>
      </c>
      <c r="D217" s="210" t="s">
        <v>133</v>
      </c>
      <c r="E217" s="212">
        <v>2175</v>
      </c>
      <c r="F217" s="212">
        <v>10841</v>
      </c>
      <c r="G217" s="212">
        <v>23579175</v>
      </c>
      <c r="H217" s="212">
        <v>1627</v>
      </c>
      <c r="I217" s="212">
        <v>3538725</v>
      </c>
      <c r="J217" s="212">
        <v>20040450</v>
      </c>
    </row>
    <row r="218" spans="1:10" ht="29.1" customHeight="1" x14ac:dyDescent="0.15">
      <c r="A218" s="221"/>
      <c r="B218" s="222" t="s">
        <v>167</v>
      </c>
      <c r="C218" s="223" t="s">
        <v>67</v>
      </c>
      <c r="D218" s="210" t="s">
        <v>141</v>
      </c>
      <c r="E218" s="212">
        <v>9</v>
      </c>
      <c r="F218" s="212">
        <v>13127</v>
      </c>
      <c r="G218" s="212">
        <v>118143</v>
      </c>
      <c r="H218" s="212">
        <v>0</v>
      </c>
      <c r="I218" s="212">
        <v>0</v>
      </c>
      <c r="J218" s="212">
        <v>118143</v>
      </c>
    </row>
    <row r="219" spans="1:10" ht="14.1" customHeight="1" x14ac:dyDescent="0.15">
      <c r="A219" s="221"/>
      <c r="B219" s="221"/>
      <c r="C219" s="221"/>
      <c r="D219" s="210" t="s">
        <v>78</v>
      </c>
      <c r="E219" s="212">
        <v>3</v>
      </c>
      <c r="F219" s="212">
        <v>13127</v>
      </c>
      <c r="G219" s="212">
        <v>39381</v>
      </c>
      <c r="H219" s="212">
        <v>0</v>
      </c>
      <c r="I219" s="212">
        <v>0</v>
      </c>
      <c r="J219" s="212">
        <v>39381</v>
      </c>
    </row>
    <row r="220" spans="1:10" ht="29.1" customHeight="1" x14ac:dyDescent="0.15">
      <c r="A220" s="221"/>
      <c r="B220" s="221"/>
      <c r="C220" s="222" t="s">
        <v>159</v>
      </c>
      <c r="D220" s="210" t="s">
        <v>70</v>
      </c>
      <c r="E220" s="212">
        <v>12</v>
      </c>
      <c r="F220" s="212">
        <v>3986</v>
      </c>
      <c r="G220" s="212">
        <v>47832</v>
      </c>
      <c r="H220" s="212">
        <v>1421</v>
      </c>
      <c r="I220" s="212">
        <v>17052</v>
      </c>
      <c r="J220" s="212">
        <v>30780</v>
      </c>
    </row>
    <row r="221" spans="1:10" ht="14.1" customHeight="1" x14ac:dyDescent="0.15">
      <c r="A221" s="221"/>
      <c r="B221" s="221"/>
      <c r="C221" s="221"/>
      <c r="D221" s="210" t="s">
        <v>139</v>
      </c>
      <c r="E221" s="212">
        <v>1</v>
      </c>
      <c r="F221" s="212">
        <v>5518</v>
      </c>
      <c r="G221" s="212">
        <v>5518</v>
      </c>
      <c r="H221" s="212">
        <v>1421</v>
      </c>
      <c r="I221" s="212">
        <v>1421</v>
      </c>
      <c r="J221" s="212">
        <v>4097</v>
      </c>
    </row>
    <row r="222" spans="1:10" ht="29.1" customHeight="1" x14ac:dyDescent="0.15">
      <c r="A222" s="221"/>
      <c r="B222" s="221"/>
      <c r="C222" s="209" t="s">
        <v>160</v>
      </c>
      <c r="D222" s="210" t="s">
        <v>140</v>
      </c>
      <c r="E222" s="212">
        <v>2</v>
      </c>
      <c r="F222" s="212">
        <v>5805</v>
      </c>
      <c r="G222" s="212">
        <v>11610</v>
      </c>
      <c r="H222" s="212">
        <v>1367</v>
      </c>
      <c r="I222" s="212">
        <v>2734</v>
      </c>
      <c r="J222" s="212">
        <v>8876</v>
      </c>
    </row>
    <row r="223" spans="1:10" ht="29.1" customHeight="1" x14ac:dyDescent="0.15">
      <c r="A223" s="221"/>
      <c r="B223" s="221"/>
      <c r="C223" s="222" t="s">
        <v>161</v>
      </c>
      <c r="D223" s="210" t="s">
        <v>70</v>
      </c>
      <c r="E223" s="212">
        <v>377</v>
      </c>
      <c r="F223" s="212">
        <v>3267</v>
      </c>
      <c r="G223" s="212">
        <v>1231659</v>
      </c>
      <c r="H223" s="212">
        <v>702</v>
      </c>
      <c r="I223" s="212">
        <v>264654</v>
      </c>
      <c r="J223" s="212">
        <v>967005</v>
      </c>
    </row>
    <row r="224" spans="1:10" ht="14.1" customHeight="1" x14ac:dyDescent="0.15">
      <c r="A224" s="221"/>
      <c r="B224" s="221"/>
      <c r="C224" s="221"/>
      <c r="D224" s="210" t="s">
        <v>79</v>
      </c>
      <c r="E224" s="212">
        <v>93</v>
      </c>
      <c r="F224" s="212">
        <v>27613</v>
      </c>
      <c r="G224" s="212">
        <v>2568009</v>
      </c>
      <c r="H224" s="212">
        <v>702</v>
      </c>
      <c r="I224" s="212">
        <v>65286</v>
      </c>
      <c r="J224" s="212">
        <v>2502723</v>
      </c>
    </row>
    <row r="225" spans="1:10" ht="14.1" customHeight="1" x14ac:dyDescent="0.15">
      <c r="A225" s="221"/>
      <c r="B225" s="221"/>
      <c r="C225" s="221"/>
      <c r="D225" s="210" t="s">
        <v>73</v>
      </c>
      <c r="E225" s="212">
        <v>724</v>
      </c>
      <c r="F225" s="212">
        <v>13829</v>
      </c>
      <c r="G225" s="212">
        <v>10012196</v>
      </c>
      <c r="H225" s="212">
        <v>702</v>
      </c>
      <c r="I225" s="212">
        <v>508248</v>
      </c>
      <c r="J225" s="212">
        <v>9503948</v>
      </c>
    </row>
    <row r="226" spans="1:10" ht="14.1" customHeight="1" x14ac:dyDescent="0.15">
      <c r="A226" s="221"/>
      <c r="B226" s="221"/>
      <c r="C226" s="221"/>
      <c r="D226" s="210" t="s">
        <v>74</v>
      </c>
      <c r="E226" s="212">
        <v>18</v>
      </c>
      <c r="F226" s="212">
        <v>10742</v>
      </c>
      <c r="G226" s="212">
        <v>193356</v>
      </c>
      <c r="H226" s="212">
        <v>702</v>
      </c>
      <c r="I226" s="212">
        <v>12636</v>
      </c>
      <c r="J226" s="212">
        <v>180720</v>
      </c>
    </row>
    <row r="227" spans="1:10" ht="14.1" customHeight="1" x14ac:dyDescent="0.15">
      <c r="A227" s="221"/>
      <c r="B227" s="221"/>
      <c r="C227" s="221"/>
      <c r="D227" s="210" t="s">
        <v>71</v>
      </c>
      <c r="E227" s="212">
        <v>23</v>
      </c>
      <c r="F227" s="212">
        <v>7530</v>
      </c>
      <c r="G227" s="212">
        <v>173190</v>
      </c>
      <c r="H227" s="212">
        <v>702</v>
      </c>
      <c r="I227" s="212">
        <v>16146</v>
      </c>
      <c r="J227" s="212">
        <v>157044</v>
      </c>
    </row>
    <row r="228" spans="1:10" ht="14.1" customHeight="1" x14ac:dyDescent="0.15">
      <c r="A228" s="221"/>
      <c r="B228" s="221"/>
      <c r="C228" s="221"/>
      <c r="D228" s="210" t="s">
        <v>139</v>
      </c>
      <c r="E228" s="212">
        <v>1</v>
      </c>
      <c r="F228" s="212">
        <v>4799</v>
      </c>
      <c r="G228" s="212">
        <v>4799</v>
      </c>
      <c r="H228" s="212">
        <v>702</v>
      </c>
      <c r="I228" s="212">
        <v>702</v>
      </c>
      <c r="J228" s="212">
        <v>4097</v>
      </c>
    </row>
    <row r="229" spans="1:10" ht="14.1" customHeight="1" x14ac:dyDescent="0.15">
      <c r="A229" s="221"/>
      <c r="B229" s="221"/>
      <c r="C229" s="221"/>
      <c r="D229" s="210" t="s">
        <v>140</v>
      </c>
      <c r="E229" s="212">
        <v>1</v>
      </c>
      <c r="F229" s="212">
        <v>5805</v>
      </c>
      <c r="G229" s="212">
        <v>5805</v>
      </c>
      <c r="H229" s="212">
        <v>702</v>
      </c>
      <c r="I229" s="212">
        <v>702</v>
      </c>
      <c r="J229" s="212">
        <v>5103</v>
      </c>
    </row>
    <row r="230" spans="1:10" ht="29.1" customHeight="1" x14ac:dyDescent="0.15">
      <c r="A230" s="222" t="s">
        <v>216</v>
      </c>
      <c r="B230" s="221" t="s">
        <v>53</v>
      </c>
      <c r="C230" s="221"/>
      <c r="D230" s="221"/>
      <c r="E230" s="212">
        <v>36711</v>
      </c>
      <c r="F230" s="212">
        <v>908158</v>
      </c>
      <c r="G230" s="212">
        <v>400880847</v>
      </c>
      <c r="H230" s="212"/>
      <c r="I230" s="212">
        <v>41831780</v>
      </c>
      <c r="J230" s="212">
        <v>359049067</v>
      </c>
    </row>
    <row r="231" spans="1:10" ht="14.1" customHeight="1" x14ac:dyDescent="0.15">
      <c r="A231" s="221"/>
      <c r="B231" s="210" t="s">
        <v>63</v>
      </c>
      <c r="C231" s="210" t="s">
        <v>64</v>
      </c>
      <c r="D231" s="210" t="s">
        <v>65</v>
      </c>
      <c r="E231" s="218">
        <v>26</v>
      </c>
      <c r="F231" s="218">
        <v>10139</v>
      </c>
      <c r="G231" s="218">
        <v>263614</v>
      </c>
      <c r="H231" s="218">
        <v>0</v>
      </c>
      <c r="I231" s="218">
        <v>0</v>
      </c>
      <c r="J231" s="218">
        <v>263614</v>
      </c>
    </row>
    <row r="232" spans="1:10" ht="14.1" customHeight="1" x14ac:dyDescent="0.15">
      <c r="A232" s="221"/>
      <c r="B232" s="220" t="s">
        <v>66</v>
      </c>
      <c r="C232" s="223" t="s">
        <v>67</v>
      </c>
      <c r="D232" s="210" t="s">
        <v>134</v>
      </c>
      <c r="E232" s="219"/>
      <c r="F232" s="219"/>
      <c r="G232" s="219"/>
      <c r="H232" s="219"/>
      <c r="I232" s="219"/>
      <c r="J232" s="219"/>
    </row>
    <row r="233" spans="1:10" ht="14.1" customHeight="1" x14ac:dyDescent="0.15">
      <c r="A233" s="221"/>
      <c r="B233" s="221"/>
      <c r="C233" s="221"/>
      <c r="D233" s="210" t="s">
        <v>132</v>
      </c>
      <c r="E233" s="212">
        <v>2</v>
      </c>
      <c r="F233" s="212">
        <v>10139</v>
      </c>
      <c r="G233" s="212">
        <v>20278</v>
      </c>
      <c r="H233" s="212">
        <v>0</v>
      </c>
      <c r="I233" s="212">
        <v>0</v>
      </c>
      <c r="J233" s="212">
        <v>20278</v>
      </c>
    </row>
    <row r="234" spans="1:10" ht="29.1" customHeight="1" x14ac:dyDescent="0.15">
      <c r="A234" s="221"/>
      <c r="B234" s="221"/>
      <c r="C234" s="209" t="s">
        <v>159</v>
      </c>
      <c r="D234" s="210" t="s">
        <v>133</v>
      </c>
      <c r="E234" s="212">
        <v>16</v>
      </c>
      <c r="F234" s="212">
        <v>11560</v>
      </c>
      <c r="G234" s="212">
        <v>184960</v>
      </c>
      <c r="H234" s="212">
        <v>2346</v>
      </c>
      <c r="I234" s="212">
        <v>37536</v>
      </c>
      <c r="J234" s="212">
        <v>147424</v>
      </c>
    </row>
    <row r="235" spans="1:10" ht="29.1" customHeight="1" x14ac:dyDescent="0.15">
      <c r="A235" s="221"/>
      <c r="B235" s="221"/>
      <c r="C235" s="209" t="s">
        <v>161</v>
      </c>
      <c r="D235" s="210" t="s">
        <v>133</v>
      </c>
      <c r="E235" s="212">
        <v>1729</v>
      </c>
      <c r="F235" s="212">
        <v>10841</v>
      </c>
      <c r="G235" s="212">
        <v>18744089</v>
      </c>
      <c r="H235" s="212">
        <v>1627</v>
      </c>
      <c r="I235" s="212">
        <v>2813083</v>
      </c>
      <c r="J235" s="212">
        <v>15931006</v>
      </c>
    </row>
    <row r="236" spans="1:10" ht="14.1" customHeight="1" x14ac:dyDescent="0.15">
      <c r="A236" s="221"/>
      <c r="B236" s="220" t="s">
        <v>76</v>
      </c>
      <c r="C236" s="223" t="s">
        <v>67</v>
      </c>
      <c r="D236" s="210" t="s">
        <v>136</v>
      </c>
      <c r="E236" s="212">
        <v>6</v>
      </c>
      <c r="F236" s="212">
        <v>6828</v>
      </c>
      <c r="G236" s="212">
        <v>40968</v>
      </c>
      <c r="H236" s="212">
        <v>0</v>
      </c>
      <c r="I236" s="212">
        <v>0</v>
      </c>
      <c r="J236" s="212">
        <v>40968</v>
      </c>
    </row>
    <row r="237" spans="1:10" ht="14.1" customHeight="1" x14ac:dyDescent="0.15">
      <c r="A237" s="221"/>
      <c r="B237" s="221"/>
      <c r="C237" s="221"/>
      <c r="D237" s="210" t="s">
        <v>77</v>
      </c>
      <c r="E237" s="212">
        <v>9</v>
      </c>
      <c r="F237" s="212">
        <v>6828</v>
      </c>
      <c r="G237" s="212">
        <v>61452</v>
      </c>
      <c r="H237" s="212">
        <v>0</v>
      </c>
      <c r="I237" s="212">
        <v>0</v>
      </c>
      <c r="J237" s="212">
        <v>61452</v>
      </c>
    </row>
    <row r="238" spans="1:10" ht="29.1" customHeight="1" x14ac:dyDescent="0.15">
      <c r="A238" s="221"/>
      <c r="B238" s="221"/>
      <c r="C238" s="222" t="s">
        <v>159</v>
      </c>
      <c r="D238" s="210" t="s">
        <v>71</v>
      </c>
      <c r="E238" s="212">
        <v>6</v>
      </c>
      <c r="F238" s="212">
        <v>8249</v>
      </c>
      <c r="G238" s="212">
        <v>49494</v>
      </c>
      <c r="H238" s="212">
        <v>1421</v>
      </c>
      <c r="I238" s="212">
        <v>8526</v>
      </c>
      <c r="J238" s="212">
        <v>40968</v>
      </c>
    </row>
    <row r="239" spans="1:10" ht="14.1" customHeight="1" x14ac:dyDescent="0.15">
      <c r="A239" s="221"/>
      <c r="B239" s="221"/>
      <c r="C239" s="221"/>
      <c r="D239" s="210" t="s">
        <v>91</v>
      </c>
      <c r="E239" s="212">
        <v>57</v>
      </c>
      <c r="F239" s="212">
        <v>8370</v>
      </c>
      <c r="G239" s="212">
        <v>477090</v>
      </c>
      <c r="H239" s="212">
        <v>1421</v>
      </c>
      <c r="I239" s="212">
        <v>80997</v>
      </c>
      <c r="J239" s="212">
        <v>396093</v>
      </c>
    </row>
    <row r="240" spans="1:10" ht="29.1" customHeight="1" x14ac:dyDescent="0.15">
      <c r="A240" s="221"/>
      <c r="B240" s="221"/>
      <c r="C240" s="222" t="s">
        <v>161</v>
      </c>
      <c r="D240" s="210" t="s">
        <v>71</v>
      </c>
      <c r="E240" s="212">
        <v>8897</v>
      </c>
      <c r="F240" s="212">
        <v>7530</v>
      </c>
      <c r="G240" s="212">
        <v>66994410</v>
      </c>
      <c r="H240" s="212">
        <v>702</v>
      </c>
      <c r="I240" s="212">
        <v>6245694</v>
      </c>
      <c r="J240" s="212">
        <v>60748716</v>
      </c>
    </row>
    <row r="241" spans="1:10" ht="14.1" customHeight="1" x14ac:dyDescent="0.15">
      <c r="A241" s="221"/>
      <c r="B241" s="221"/>
      <c r="C241" s="221"/>
      <c r="D241" s="210" t="s">
        <v>91</v>
      </c>
      <c r="E241" s="212">
        <v>293</v>
      </c>
      <c r="F241" s="212">
        <v>7651</v>
      </c>
      <c r="G241" s="212">
        <v>2241743</v>
      </c>
      <c r="H241" s="212">
        <v>702</v>
      </c>
      <c r="I241" s="212">
        <v>205686</v>
      </c>
      <c r="J241" s="212">
        <v>2036057</v>
      </c>
    </row>
    <row r="242" spans="1:10" ht="29.1" customHeight="1" x14ac:dyDescent="0.15">
      <c r="A242" s="221"/>
      <c r="B242" s="222" t="s">
        <v>167</v>
      </c>
      <c r="C242" s="223" t="s">
        <v>67</v>
      </c>
      <c r="D242" s="210" t="s">
        <v>154</v>
      </c>
      <c r="E242" s="212">
        <v>1</v>
      </c>
      <c r="F242" s="212">
        <v>44986</v>
      </c>
      <c r="G242" s="212">
        <v>44986</v>
      </c>
      <c r="H242" s="212">
        <v>0</v>
      </c>
      <c r="I242" s="212">
        <v>0</v>
      </c>
      <c r="J242" s="212">
        <v>44986</v>
      </c>
    </row>
    <row r="243" spans="1:10" ht="14.1" customHeight="1" x14ac:dyDescent="0.15">
      <c r="A243" s="221"/>
      <c r="B243" s="221"/>
      <c r="C243" s="221"/>
      <c r="D243" s="210" t="s">
        <v>145</v>
      </c>
      <c r="E243" s="212">
        <v>2</v>
      </c>
      <c r="F243" s="212">
        <v>26911</v>
      </c>
      <c r="G243" s="212">
        <v>53822</v>
      </c>
      <c r="H243" s="212">
        <v>0</v>
      </c>
      <c r="I243" s="212">
        <v>0</v>
      </c>
      <c r="J243" s="212">
        <v>53822</v>
      </c>
    </row>
    <row r="244" spans="1:10" ht="14.1" customHeight="1" x14ac:dyDescent="0.15">
      <c r="A244" s="221"/>
      <c r="B244" s="221"/>
      <c r="C244" s="221"/>
      <c r="D244" s="210" t="s">
        <v>85</v>
      </c>
      <c r="E244" s="212">
        <v>30</v>
      </c>
      <c r="F244" s="212">
        <v>26911</v>
      </c>
      <c r="G244" s="212">
        <v>807330</v>
      </c>
      <c r="H244" s="212">
        <v>0</v>
      </c>
      <c r="I244" s="212">
        <v>0</v>
      </c>
      <c r="J244" s="212">
        <v>807330</v>
      </c>
    </row>
    <row r="245" spans="1:10" ht="14.1" customHeight="1" x14ac:dyDescent="0.15">
      <c r="A245" s="221"/>
      <c r="B245" s="221"/>
      <c r="C245" s="221"/>
      <c r="D245" s="210" t="s">
        <v>141</v>
      </c>
      <c r="E245" s="212">
        <v>12</v>
      </c>
      <c r="F245" s="212">
        <v>13127</v>
      </c>
      <c r="G245" s="212">
        <v>157524</v>
      </c>
      <c r="H245" s="212">
        <v>0</v>
      </c>
      <c r="I245" s="212">
        <v>0</v>
      </c>
      <c r="J245" s="212">
        <v>157524</v>
      </c>
    </row>
    <row r="246" spans="1:10" ht="14.1" customHeight="1" x14ac:dyDescent="0.15">
      <c r="A246" s="221"/>
      <c r="B246" s="221"/>
      <c r="C246" s="221"/>
      <c r="D246" s="210" t="s">
        <v>78</v>
      </c>
      <c r="E246" s="212">
        <v>8</v>
      </c>
      <c r="F246" s="212">
        <v>13127</v>
      </c>
      <c r="G246" s="212">
        <v>105016</v>
      </c>
      <c r="H246" s="212">
        <v>0</v>
      </c>
      <c r="I246" s="212">
        <v>0</v>
      </c>
      <c r="J246" s="212">
        <v>105016</v>
      </c>
    </row>
    <row r="247" spans="1:10" ht="14.1" customHeight="1" x14ac:dyDescent="0.15">
      <c r="A247" s="221"/>
      <c r="B247" s="221"/>
      <c r="C247" s="221"/>
      <c r="D247" s="210" t="s">
        <v>146</v>
      </c>
      <c r="E247" s="212">
        <v>1</v>
      </c>
      <c r="F247" s="212">
        <v>10040</v>
      </c>
      <c r="G247" s="212">
        <v>10040</v>
      </c>
      <c r="H247" s="212">
        <v>0</v>
      </c>
      <c r="I247" s="212">
        <v>0</v>
      </c>
      <c r="J247" s="212">
        <v>10040</v>
      </c>
    </row>
    <row r="248" spans="1:10" ht="14.1" customHeight="1" x14ac:dyDescent="0.15">
      <c r="A248" s="221"/>
      <c r="B248" s="221"/>
      <c r="C248" s="221"/>
      <c r="D248" s="210" t="s">
        <v>83</v>
      </c>
      <c r="E248" s="212">
        <v>21</v>
      </c>
      <c r="F248" s="212">
        <v>10040</v>
      </c>
      <c r="G248" s="212">
        <v>210840</v>
      </c>
      <c r="H248" s="212">
        <v>0</v>
      </c>
      <c r="I248" s="212">
        <v>0</v>
      </c>
      <c r="J248" s="212">
        <v>210840</v>
      </c>
    </row>
    <row r="249" spans="1:10" ht="14.1" customHeight="1" x14ac:dyDescent="0.15">
      <c r="A249" s="221"/>
      <c r="B249" s="221"/>
      <c r="C249" s="221"/>
      <c r="D249" s="210" t="s">
        <v>136</v>
      </c>
      <c r="E249" s="212">
        <v>7</v>
      </c>
      <c r="F249" s="212">
        <v>6828</v>
      </c>
      <c r="G249" s="212">
        <v>47796</v>
      </c>
      <c r="H249" s="212">
        <v>0</v>
      </c>
      <c r="I249" s="212">
        <v>0</v>
      </c>
      <c r="J249" s="212">
        <v>47796</v>
      </c>
    </row>
    <row r="250" spans="1:10" ht="14.1" customHeight="1" x14ac:dyDescent="0.15">
      <c r="A250" s="221"/>
      <c r="B250" s="221"/>
      <c r="C250" s="221"/>
      <c r="D250" s="210" t="s">
        <v>77</v>
      </c>
      <c r="E250" s="212">
        <v>81</v>
      </c>
      <c r="F250" s="212">
        <v>6828</v>
      </c>
      <c r="G250" s="212">
        <v>553068</v>
      </c>
      <c r="H250" s="212">
        <v>0</v>
      </c>
      <c r="I250" s="212">
        <v>0</v>
      </c>
      <c r="J250" s="212">
        <v>553068</v>
      </c>
    </row>
    <row r="251" spans="1:10" ht="14.1" customHeight="1" x14ac:dyDescent="0.15">
      <c r="A251" s="221"/>
      <c r="B251" s="221"/>
      <c r="C251" s="221"/>
      <c r="D251" s="210" t="s">
        <v>84</v>
      </c>
      <c r="E251" s="212">
        <v>10</v>
      </c>
      <c r="F251" s="212">
        <v>2410</v>
      </c>
      <c r="G251" s="212">
        <v>24100</v>
      </c>
      <c r="H251" s="212">
        <v>0</v>
      </c>
      <c r="I251" s="212">
        <v>0</v>
      </c>
      <c r="J251" s="212">
        <v>24100</v>
      </c>
    </row>
    <row r="252" spans="1:10" ht="14.1" customHeight="1" x14ac:dyDescent="0.15">
      <c r="A252" s="221"/>
      <c r="B252" s="221"/>
      <c r="C252" s="221"/>
      <c r="D252" s="210" t="s">
        <v>89</v>
      </c>
      <c r="E252" s="212">
        <v>2</v>
      </c>
      <c r="F252" s="212">
        <v>1205</v>
      </c>
      <c r="G252" s="212">
        <v>2410</v>
      </c>
      <c r="H252" s="212">
        <v>0</v>
      </c>
      <c r="I252" s="212">
        <v>0</v>
      </c>
      <c r="J252" s="212">
        <v>2410</v>
      </c>
    </row>
    <row r="253" spans="1:10" ht="14.1" customHeight="1" x14ac:dyDescent="0.15">
      <c r="A253" s="221"/>
      <c r="B253" s="221"/>
      <c r="C253" s="221"/>
      <c r="D253" s="210" t="s">
        <v>142</v>
      </c>
      <c r="E253" s="212">
        <v>7</v>
      </c>
      <c r="F253" s="212">
        <v>4097</v>
      </c>
      <c r="G253" s="212">
        <v>28679</v>
      </c>
      <c r="H253" s="212">
        <v>0</v>
      </c>
      <c r="I253" s="212">
        <v>0</v>
      </c>
      <c r="J253" s="212">
        <v>28679</v>
      </c>
    </row>
    <row r="254" spans="1:10" ht="14.1" customHeight="1" x14ac:dyDescent="0.15">
      <c r="A254" s="221"/>
      <c r="B254" s="221"/>
      <c r="C254" s="221"/>
      <c r="D254" s="210" t="s">
        <v>143</v>
      </c>
      <c r="E254" s="212">
        <v>4</v>
      </c>
      <c r="F254" s="212">
        <v>5103</v>
      </c>
      <c r="G254" s="212">
        <v>20412</v>
      </c>
      <c r="H254" s="212">
        <v>0</v>
      </c>
      <c r="I254" s="212">
        <v>0</v>
      </c>
      <c r="J254" s="212">
        <v>20412</v>
      </c>
    </row>
    <row r="255" spans="1:10" ht="14.1" customHeight="1" x14ac:dyDescent="0.15">
      <c r="A255" s="221"/>
      <c r="B255" s="221"/>
      <c r="C255" s="221"/>
      <c r="D255" s="210" t="s">
        <v>138</v>
      </c>
      <c r="E255" s="212">
        <v>5</v>
      </c>
      <c r="F255" s="212">
        <v>5103</v>
      </c>
      <c r="G255" s="212">
        <v>25515</v>
      </c>
      <c r="H255" s="212">
        <v>0</v>
      </c>
      <c r="I255" s="212">
        <v>0</v>
      </c>
      <c r="J255" s="212">
        <v>25515</v>
      </c>
    </row>
    <row r="256" spans="1:10" ht="29.1" customHeight="1" x14ac:dyDescent="0.15">
      <c r="A256" s="221"/>
      <c r="B256" s="221"/>
      <c r="C256" s="222" t="s">
        <v>159</v>
      </c>
      <c r="D256" s="210" t="s">
        <v>70</v>
      </c>
      <c r="E256" s="212">
        <v>23</v>
      </c>
      <c r="F256" s="212">
        <v>3986</v>
      </c>
      <c r="G256" s="212">
        <v>91678</v>
      </c>
      <c r="H256" s="212">
        <v>1421</v>
      </c>
      <c r="I256" s="212">
        <v>32683</v>
      </c>
      <c r="J256" s="212">
        <v>58995</v>
      </c>
    </row>
    <row r="257" spans="1:10" ht="14.1" customHeight="1" x14ac:dyDescent="0.15">
      <c r="A257" s="221"/>
      <c r="B257" s="221"/>
      <c r="C257" s="221"/>
      <c r="D257" s="210" t="s">
        <v>79</v>
      </c>
      <c r="E257" s="212">
        <v>6</v>
      </c>
      <c r="F257" s="212">
        <v>28332</v>
      </c>
      <c r="G257" s="212">
        <v>169992</v>
      </c>
      <c r="H257" s="212">
        <v>1421</v>
      </c>
      <c r="I257" s="212">
        <v>8526</v>
      </c>
      <c r="J257" s="212">
        <v>161466</v>
      </c>
    </row>
    <row r="258" spans="1:10" ht="14.1" customHeight="1" x14ac:dyDescent="0.15">
      <c r="A258" s="221"/>
      <c r="B258" s="221"/>
      <c r="C258" s="221"/>
      <c r="D258" s="210" t="s">
        <v>73</v>
      </c>
      <c r="E258" s="212">
        <v>4</v>
      </c>
      <c r="F258" s="212">
        <v>14548</v>
      </c>
      <c r="G258" s="212">
        <v>58192</v>
      </c>
      <c r="H258" s="212">
        <v>1421</v>
      </c>
      <c r="I258" s="212">
        <v>5684</v>
      </c>
      <c r="J258" s="212">
        <v>52508</v>
      </c>
    </row>
    <row r="259" spans="1:10" ht="14.1" customHeight="1" x14ac:dyDescent="0.15">
      <c r="A259" s="221"/>
      <c r="B259" s="221"/>
      <c r="C259" s="221"/>
      <c r="D259" s="210" t="s">
        <v>74</v>
      </c>
      <c r="E259" s="212">
        <v>2</v>
      </c>
      <c r="F259" s="212">
        <v>11461</v>
      </c>
      <c r="G259" s="212">
        <v>22922</v>
      </c>
      <c r="H259" s="212">
        <v>1421</v>
      </c>
      <c r="I259" s="212">
        <v>2842</v>
      </c>
      <c r="J259" s="212">
        <v>20080</v>
      </c>
    </row>
    <row r="260" spans="1:10" ht="14.1" customHeight="1" x14ac:dyDescent="0.15">
      <c r="A260" s="221"/>
      <c r="B260" s="221"/>
      <c r="C260" s="221"/>
      <c r="D260" s="210" t="s">
        <v>71</v>
      </c>
      <c r="E260" s="212">
        <v>33</v>
      </c>
      <c r="F260" s="212">
        <v>8249</v>
      </c>
      <c r="G260" s="212">
        <v>272217</v>
      </c>
      <c r="H260" s="212">
        <v>1421</v>
      </c>
      <c r="I260" s="212">
        <v>46893</v>
      </c>
      <c r="J260" s="212">
        <v>225324</v>
      </c>
    </row>
    <row r="261" spans="1:10" ht="14.1" customHeight="1" x14ac:dyDescent="0.15">
      <c r="A261" s="221"/>
      <c r="B261" s="221"/>
      <c r="C261" s="221"/>
      <c r="D261" s="210" t="s">
        <v>82</v>
      </c>
      <c r="E261" s="212">
        <v>1</v>
      </c>
      <c r="F261" s="212">
        <v>3831</v>
      </c>
      <c r="G261" s="212">
        <v>3831</v>
      </c>
      <c r="H261" s="212">
        <v>1421</v>
      </c>
      <c r="I261" s="212">
        <v>1421</v>
      </c>
      <c r="J261" s="212">
        <v>2410</v>
      </c>
    </row>
    <row r="262" spans="1:10" ht="14.1" customHeight="1" x14ac:dyDescent="0.15">
      <c r="A262" s="221"/>
      <c r="B262" s="221"/>
      <c r="C262" s="221"/>
      <c r="D262" s="210" t="s">
        <v>139</v>
      </c>
      <c r="E262" s="212">
        <v>59</v>
      </c>
      <c r="F262" s="212">
        <v>5518</v>
      </c>
      <c r="G262" s="212">
        <v>325562</v>
      </c>
      <c r="H262" s="212">
        <v>1421</v>
      </c>
      <c r="I262" s="212">
        <v>83839</v>
      </c>
      <c r="J262" s="212">
        <v>241723</v>
      </c>
    </row>
    <row r="263" spans="1:10" ht="14.1" customHeight="1" x14ac:dyDescent="0.15">
      <c r="A263" s="221"/>
      <c r="B263" s="221"/>
      <c r="C263" s="221"/>
      <c r="D263" s="210" t="s">
        <v>140</v>
      </c>
      <c r="E263" s="212">
        <v>10</v>
      </c>
      <c r="F263" s="212">
        <v>6524</v>
      </c>
      <c r="G263" s="212">
        <v>65240</v>
      </c>
      <c r="H263" s="212">
        <v>1421</v>
      </c>
      <c r="I263" s="212">
        <v>14210</v>
      </c>
      <c r="J263" s="212">
        <v>51030</v>
      </c>
    </row>
    <row r="264" spans="1:10" ht="29.1" customHeight="1" x14ac:dyDescent="0.15">
      <c r="A264" s="221"/>
      <c r="B264" s="221"/>
      <c r="C264" s="209" t="s">
        <v>160</v>
      </c>
      <c r="D264" s="210" t="s">
        <v>71</v>
      </c>
      <c r="E264" s="212">
        <v>85</v>
      </c>
      <c r="F264" s="212">
        <v>7663</v>
      </c>
      <c r="G264" s="212">
        <v>651355</v>
      </c>
      <c r="H264" s="212">
        <v>1367</v>
      </c>
      <c r="I264" s="212">
        <v>116195</v>
      </c>
      <c r="J264" s="212">
        <v>535160</v>
      </c>
    </row>
    <row r="265" spans="1:10" ht="29.1" customHeight="1" x14ac:dyDescent="0.15">
      <c r="A265" s="221"/>
      <c r="B265" s="221"/>
      <c r="C265" s="222" t="s">
        <v>161</v>
      </c>
      <c r="D265" s="210" t="s">
        <v>70</v>
      </c>
      <c r="E265" s="212">
        <v>328</v>
      </c>
      <c r="F265" s="212">
        <v>3267</v>
      </c>
      <c r="G265" s="212">
        <v>1071576</v>
      </c>
      <c r="H265" s="212">
        <v>702</v>
      </c>
      <c r="I265" s="212">
        <v>230256</v>
      </c>
      <c r="J265" s="212">
        <v>841320</v>
      </c>
    </row>
    <row r="266" spans="1:10" ht="14.1" customHeight="1" x14ac:dyDescent="0.15">
      <c r="A266" s="221"/>
      <c r="B266" s="221"/>
      <c r="C266" s="221"/>
      <c r="D266" s="210" t="s">
        <v>101</v>
      </c>
      <c r="E266" s="212">
        <v>14</v>
      </c>
      <c r="F266" s="212">
        <v>45688</v>
      </c>
      <c r="G266" s="212">
        <v>639632</v>
      </c>
      <c r="H266" s="212">
        <v>702</v>
      </c>
      <c r="I266" s="212">
        <v>9828</v>
      </c>
      <c r="J266" s="212">
        <v>629804</v>
      </c>
    </row>
    <row r="267" spans="1:10" ht="14.1" customHeight="1" x14ac:dyDescent="0.15">
      <c r="A267" s="221"/>
      <c r="B267" s="221"/>
      <c r="C267" s="221"/>
      <c r="D267" s="210" t="s">
        <v>79</v>
      </c>
      <c r="E267" s="212">
        <v>2332</v>
      </c>
      <c r="F267" s="212">
        <v>27613</v>
      </c>
      <c r="G267" s="212">
        <v>64393516</v>
      </c>
      <c r="H267" s="212">
        <v>702</v>
      </c>
      <c r="I267" s="212">
        <v>1637064</v>
      </c>
      <c r="J267" s="212">
        <v>62756452</v>
      </c>
    </row>
    <row r="268" spans="1:10" ht="14.1" customHeight="1" x14ac:dyDescent="0.15">
      <c r="A268" s="221"/>
      <c r="B268" s="221"/>
      <c r="C268" s="221"/>
      <c r="D268" s="210" t="s">
        <v>73</v>
      </c>
      <c r="E268" s="212">
        <v>2389</v>
      </c>
      <c r="F268" s="212">
        <v>13829</v>
      </c>
      <c r="G268" s="212">
        <v>33037481</v>
      </c>
      <c r="H268" s="212">
        <v>702</v>
      </c>
      <c r="I268" s="212">
        <v>1677078</v>
      </c>
      <c r="J268" s="212">
        <v>31360403</v>
      </c>
    </row>
    <row r="269" spans="1:10" ht="14.1" customHeight="1" x14ac:dyDescent="0.15">
      <c r="A269" s="221"/>
      <c r="B269" s="221"/>
      <c r="C269" s="221"/>
      <c r="D269" s="210" t="s">
        <v>74</v>
      </c>
      <c r="E269" s="212">
        <v>186</v>
      </c>
      <c r="F269" s="212">
        <v>10742</v>
      </c>
      <c r="G269" s="212">
        <v>1998012</v>
      </c>
      <c r="H269" s="212">
        <v>702</v>
      </c>
      <c r="I269" s="212">
        <v>130572</v>
      </c>
      <c r="J269" s="212">
        <v>1867440</v>
      </c>
    </row>
    <row r="270" spans="1:10" ht="14.1" customHeight="1" x14ac:dyDescent="0.15">
      <c r="A270" s="221"/>
      <c r="B270" s="221"/>
      <c r="C270" s="221"/>
      <c r="D270" s="210" t="s">
        <v>71</v>
      </c>
      <c r="E270" s="212">
        <v>1469</v>
      </c>
      <c r="F270" s="212">
        <v>7530</v>
      </c>
      <c r="G270" s="212">
        <v>11061570</v>
      </c>
      <c r="H270" s="212">
        <v>702</v>
      </c>
      <c r="I270" s="212">
        <v>1031238</v>
      </c>
      <c r="J270" s="212">
        <v>10030332</v>
      </c>
    </row>
    <row r="271" spans="1:10" ht="14.1" customHeight="1" x14ac:dyDescent="0.15">
      <c r="A271" s="221"/>
      <c r="B271" s="221"/>
      <c r="C271" s="221"/>
      <c r="D271" s="210" t="s">
        <v>72</v>
      </c>
      <c r="E271" s="212">
        <v>157</v>
      </c>
      <c r="F271" s="212">
        <v>4953</v>
      </c>
      <c r="G271" s="212">
        <v>777621</v>
      </c>
      <c r="H271" s="212">
        <v>702</v>
      </c>
      <c r="I271" s="212">
        <v>110214</v>
      </c>
      <c r="J271" s="212">
        <v>667407</v>
      </c>
    </row>
    <row r="272" spans="1:10" ht="14.1" customHeight="1" x14ac:dyDescent="0.15">
      <c r="A272" s="221"/>
      <c r="B272" s="221"/>
      <c r="C272" s="221"/>
      <c r="D272" s="210" t="s">
        <v>82</v>
      </c>
      <c r="E272" s="212">
        <v>47</v>
      </c>
      <c r="F272" s="212">
        <v>3112</v>
      </c>
      <c r="G272" s="212">
        <v>146264</v>
      </c>
      <c r="H272" s="212">
        <v>702</v>
      </c>
      <c r="I272" s="212">
        <v>32994</v>
      </c>
      <c r="J272" s="212">
        <v>113270</v>
      </c>
    </row>
    <row r="273" spans="1:10" ht="14.1" customHeight="1" x14ac:dyDescent="0.15">
      <c r="A273" s="221"/>
      <c r="B273" s="221"/>
      <c r="C273" s="221"/>
      <c r="D273" s="210" t="s">
        <v>75</v>
      </c>
      <c r="E273" s="212">
        <v>22</v>
      </c>
      <c r="F273" s="212">
        <v>1907</v>
      </c>
      <c r="G273" s="212">
        <v>41954</v>
      </c>
      <c r="H273" s="212">
        <v>702</v>
      </c>
      <c r="I273" s="212">
        <v>15444</v>
      </c>
      <c r="J273" s="212">
        <v>26510</v>
      </c>
    </row>
    <row r="274" spans="1:10" ht="14.1" customHeight="1" x14ac:dyDescent="0.15">
      <c r="A274" s="221"/>
      <c r="B274" s="221"/>
      <c r="C274" s="221"/>
      <c r="D274" s="210" t="s">
        <v>92</v>
      </c>
      <c r="E274" s="212">
        <v>4</v>
      </c>
      <c r="F274" s="212">
        <v>1244</v>
      </c>
      <c r="G274" s="212">
        <v>4976</v>
      </c>
      <c r="H274" s="212">
        <v>702</v>
      </c>
      <c r="I274" s="212">
        <v>2808</v>
      </c>
      <c r="J274" s="212">
        <v>2168</v>
      </c>
    </row>
    <row r="275" spans="1:10" ht="14.1" customHeight="1" x14ac:dyDescent="0.15">
      <c r="A275" s="221"/>
      <c r="B275" s="221"/>
      <c r="C275" s="221"/>
      <c r="D275" s="210" t="s">
        <v>139</v>
      </c>
      <c r="E275" s="212">
        <v>1640</v>
      </c>
      <c r="F275" s="212">
        <v>4799</v>
      </c>
      <c r="G275" s="212">
        <v>7870360</v>
      </c>
      <c r="H275" s="212">
        <v>702</v>
      </c>
      <c r="I275" s="212">
        <v>1151280</v>
      </c>
      <c r="J275" s="212">
        <v>6719080</v>
      </c>
    </row>
    <row r="276" spans="1:10" ht="14.1" customHeight="1" x14ac:dyDescent="0.15">
      <c r="A276" s="221"/>
      <c r="B276" s="221"/>
      <c r="C276" s="221"/>
      <c r="D276" s="210" t="s">
        <v>140</v>
      </c>
      <c r="E276" s="212">
        <v>563</v>
      </c>
      <c r="F276" s="212">
        <v>5805</v>
      </c>
      <c r="G276" s="212">
        <v>3268215</v>
      </c>
      <c r="H276" s="212">
        <v>702</v>
      </c>
      <c r="I276" s="212">
        <v>395226</v>
      </c>
      <c r="J276" s="212">
        <v>2872989</v>
      </c>
    </row>
    <row r="277" spans="1:10" ht="14.1" customHeight="1" x14ac:dyDescent="0.15">
      <c r="A277" s="221"/>
      <c r="B277" s="220" t="s">
        <v>168</v>
      </c>
      <c r="C277" s="223" t="s">
        <v>67</v>
      </c>
      <c r="D277" s="210" t="s">
        <v>144</v>
      </c>
      <c r="E277" s="212">
        <v>3</v>
      </c>
      <c r="F277" s="212">
        <v>44986</v>
      </c>
      <c r="G277" s="212">
        <v>134958</v>
      </c>
      <c r="H277" s="212">
        <v>925</v>
      </c>
      <c r="I277" s="212">
        <v>2775</v>
      </c>
      <c r="J277" s="212">
        <v>132183</v>
      </c>
    </row>
    <row r="278" spans="1:10" ht="14.1" customHeight="1" x14ac:dyDescent="0.15">
      <c r="A278" s="221"/>
      <c r="B278" s="221"/>
      <c r="C278" s="221"/>
      <c r="D278" s="210" t="s">
        <v>145</v>
      </c>
      <c r="E278" s="212">
        <v>36</v>
      </c>
      <c r="F278" s="212">
        <v>26911</v>
      </c>
      <c r="G278" s="212">
        <v>968796</v>
      </c>
      <c r="H278" s="212">
        <v>925</v>
      </c>
      <c r="I278" s="212">
        <v>33300</v>
      </c>
      <c r="J278" s="212">
        <v>935496</v>
      </c>
    </row>
    <row r="279" spans="1:10" ht="14.1" customHeight="1" x14ac:dyDescent="0.15">
      <c r="A279" s="221"/>
      <c r="B279" s="221"/>
      <c r="C279" s="221"/>
      <c r="D279" s="210" t="s">
        <v>85</v>
      </c>
      <c r="E279" s="212">
        <v>55</v>
      </c>
      <c r="F279" s="212">
        <v>26911</v>
      </c>
      <c r="G279" s="212">
        <v>1480105</v>
      </c>
      <c r="H279" s="212">
        <v>925</v>
      </c>
      <c r="I279" s="212">
        <v>50875</v>
      </c>
      <c r="J279" s="212">
        <v>1429230</v>
      </c>
    </row>
    <row r="280" spans="1:10" ht="14.1" customHeight="1" x14ac:dyDescent="0.15">
      <c r="A280" s="221"/>
      <c r="B280" s="221"/>
      <c r="C280" s="221"/>
      <c r="D280" s="210" t="s">
        <v>141</v>
      </c>
      <c r="E280" s="212">
        <v>32</v>
      </c>
      <c r="F280" s="212">
        <v>13127</v>
      </c>
      <c r="G280" s="212">
        <v>420064</v>
      </c>
      <c r="H280" s="212">
        <v>925</v>
      </c>
      <c r="I280" s="212">
        <v>29600</v>
      </c>
      <c r="J280" s="212">
        <v>390464</v>
      </c>
    </row>
    <row r="281" spans="1:10" ht="14.1" customHeight="1" x14ac:dyDescent="0.15">
      <c r="A281" s="221"/>
      <c r="B281" s="221"/>
      <c r="C281" s="221"/>
      <c r="D281" s="210" t="s">
        <v>78</v>
      </c>
      <c r="E281" s="212">
        <v>20</v>
      </c>
      <c r="F281" s="212">
        <v>13127</v>
      </c>
      <c r="G281" s="212">
        <v>262540</v>
      </c>
      <c r="H281" s="212">
        <v>925</v>
      </c>
      <c r="I281" s="212">
        <v>18500</v>
      </c>
      <c r="J281" s="212">
        <v>244040</v>
      </c>
    </row>
    <row r="282" spans="1:10" ht="14.1" customHeight="1" x14ac:dyDescent="0.15">
      <c r="A282" s="221"/>
      <c r="B282" s="221"/>
      <c r="C282" s="221"/>
      <c r="D282" s="210" t="s">
        <v>146</v>
      </c>
      <c r="E282" s="212">
        <v>41</v>
      </c>
      <c r="F282" s="212">
        <v>10040</v>
      </c>
      <c r="G282" s="212">
        <v>411640</v>
      </c>
      <c r="H282" s="212">
        <v>925</v>
      </c>
      <c r="I282" s="212">
        <v>37925</v>
      </c>
      <c r="J282" s="212">
        <v>373715</v>
      </c>
    </row>
    <row r="283" spans="1:10" ht="14.1" customHeight="1" x14ac:dyDescent="0.15">
      <c r="A283" s="221"/>
      <c r="B283" s="221"/>
      <c r="C283" s="221"/>
      <c r="D283" s="210" t="s">
        <v>83</v>
      </c>
      <c r="E283" s="212">
        <v>59</v>
      </c>
      <c r="F283" s="212">
        <v>10040</v>
      </c>
      <c r="G283" s="212">
        <v>592360</v>
      </c>
      <c r="H283" s="212">
        <v>925</v>
      </c>
      <c r="I283" s="212">
        <v>54575</v>
      </c>
      <c r="J283" s="212">
        <v>537785</v>
      </c>
    </row>
    <row r="284" spans="1:10" ht="14.1" customHeight="1" x14ac:dyDescent="0.15">
      <c r="A284" s="221"/>
      <c r="B284" s="221"/>
      <c r="C284" s="221"/>
      <c r="D284" s="210" t="s">
        <v>136</v>
      </c>
      <c r="E284" s="212">
        <v>56</v>
      </c>
      <c r="F284" s="212">
        <v>6828</v>
      </c>
      <c r="G284" s="212">
        <v>382368</v>
      </c>
      <c r="H284" s="212">
        <v>925</v>
      </c>
      <c r="I284" s="212">
        <v>51800</v>
      </c>
      <c r="J284" s="212">
        <v>330568</v>
      </c>
    </row>
    <row r="285" spans="1:10" ht="14.1" customHeight="1" x14ac:dyDescent="0.15">
      <c r="A285" s="221"/>
      <c r="B285" s="221"/>
      <c r="C285" s="221"/>
      <c r="D285" s="210" t="s">
        <v>77</v>
      </c>
      <c r="E285" s="212">
        <v>372</v>
      </c>
      <c r="F285" s="212">
        <v>6828</v>
      </c>
      <c r="G285" s="212">
        <v>2540016</v>
      </c>
      <c r="H285" s="212">
        <v>925</v>
      </c>
      <c r="I285" s="212">
        <v>344100</v>
      </c>
      <c r="J285" s="212">
        <v>2195916</v>
      </c>
    </row>
    <row r="286" spans="1:10" ht="14.1" customHeight="1" x14ac:dyDescent="0.15">
      <c r="A286" s="221"/>
      <c r="B286" s="221"/>
      <c r="C286" s="221"/>
      <c r="D286" s="210" t="s">
        <v>149</v>
      </c>
      <c r="E286" s="212">
        <v>5</v>
      </c>
      <c r="F286" s="212">
        <v>4251</v>
      </c>
      <c r="G286" s="212">
        <v>21255</v>
      </c>
      <c r="H286" s="212">
        <v>925</v>
      </c>
      <c r="I286" s="212">
        <v>4625</v>
      </c>
      <c r="J286" s="212">
        <v>16630</v>
      </c>
    </row>
    <row r="287" spans="1:10" ht="14.1" customHeight="1" x14ac:dyDescent="0.15">
      <c r="A287" s="221"/>
      <c r="B287" s="221"/>
      <c r="C287" s="221"/>
      <c r="D287" s="210" t="s">
        <v>86</v>
      </c>
      <c r="E287" s="212">
        <v>5</v>
      </c>
      <c r="F287" s="212">
        <v>4251</v>
      </c>
      <c r="G287" s="212">
        <v>21255</v>
      </c>
      <c r="H287" s="212">
        <v>925</v>
      </c>
      <c r="I287" s="212">
        <v>4625</v>
      </c>
      <c r="J287" s="212">
        <v>16630</v>
      </c>
    </row>
    <row r="288" spans="1:10" ht="14.1" customHeight="1" x14ac:dyDescent="0.15">
      <c r="A288" s="221"/>
      <c r="B288" s="221"/>
      <c r="C288" s="221"/>
      <c r="D288" s="210" t="s">
        <v>147</v>
      </c>
      <c r="E288" s="212">
        <v>13</v>
      </c>
      <c r="F288" s="212">
        <v>2410</v>
      </c>
      <c r="G288" s="212">
        <v>31330</v>
      </c>
      <c r="H288" s="212">
        <v>925</v>
      </c>
      <c r="I288" s="212">
        <v>12025</v>
      </c>
      <c r="J288" s="212">
        <v>19305</v>
      </c>
    </row>
    <row r="289" spans="1:10" ht="14.1" customHeight="1" x14ac:dyDescent="0.15">
      <c r="A289" s="221"/>
      <c r="B289" s="221"/>
      <c r="C289" s="221"/>
      <c r="D289" s="210" t="s">
        <v>84</v>
      </c>
      <c r="E289" s="212">
        <v>67</v>
      </c>
      <c r="F289" s="212">
        <v>2410</v>
      </c>
      <c r="G289" s="212">
        <v>161470</v>
      </c>
      <c r="H289" s="212">
        <v>925</v>
      </c>
      <c r="I289" s="212">
        <v>61975</v>
      </c>
      <c r="J289" s="212">
        <v>99495</v>
      </c>
    </row>
    <row r="290" spans="1:10" ht="14.1" customHeight="1" x14ac:dyDescent="0.15">
      <c r="A290" s="221"/>
      <c r="B290" s="221"/>
      <c r="C290" s="221"/>
      <c r="D290" s="210" t="s">
        <v>148</v>
      </c>
      <c r="E290" s="212">
        <v>4</v>
      </c>
      <c r="F290" s="212">
        <v>1205</v>
      </c>
      <c r="G290" s="212">
        <v>4820</v>
      </c>
      <c r="H290" s="212">
        <v>925</v>
      </c>
      <c r="I290" s="212">
        <v>3700</v>
      </c>
      <c r="J290" s="212">
        <v>1120</v>
      </c>
    </row>
    <row r="291" spans="1:10" ht="29.1" customHeight="1" x14ac:dyDescent="0.15">
      <c r="A291" s="221"/>
      <c r="B291" s="221"/>
      <c r="C291" s="222" t="s">
        <v>159</v>
      </c>
      <c r="D291" s="210" t="s">
        <v>79</v>
      </c>
      <c r="E291" s="212">
        <v>4</v>
      </c>
      <c r="F291" s="212">
        <v>28332</v>
      </c>
      <c r="G291" s="212">
        <v>113328</v>
      </c>
      <c r="H291" s="212">
        <v>2346</v>
      </c>
      <c r="I291" s="212">
        <v>9384</v>
      </c>
      <c r="J291" s="212">
        <v>103944</v>
      </c>
    </row>
    <row r="292" spans="1:10" ht="14.1" customHeight="1" x14ac:dyDescent="0.15">
      <c r="A292" s="221"/>
      <c r="B292" s="221"/>
      <c r="C292" s="221"/>
      <c r="D292" s="210" t="s">
        <v>73</v>
      </c>
      <c r="E292" s="212">
        <v>8</v>
      </c>
      <c r="F292" s="212">
        <v>14548</v>
      </c>
      <c r="G292" s="212">
        <v>116384</v>
      </c>
      <c r="H292" s="212">
        <v>2346</v>
      </c>
      <c r="I292" s="212">
        <v>18768</v>
      </c>
      <c r="J292" s="212">
        <v>97616</v>
      </c>
    </row>
    <row r="293" spans="1:10" ht="14.1" customHeight="1" x14ac:dyDescent="0.15">
      <c r="A293" s="221"/>
      <c r="B293" s="221"/>
      <c r="C293" s="221"/>
      <c r="D293" s="210" t="s">
        <v>74</v>
      </c>
      <c r="E293" s="212">
        <v>5</v>
      </c>
      <c r="F293" s="212">
        <v>11461</v>
      </c>
      <c r="G293" s="212">
        <v>57305</v>
      </c>
      <c r="H293" s="212">
        <v>2346</v>
      </c>
      <c r="I293" s="212">
        <v>11730</v>
      </c>
      <c r="J293" s="212">
        <v>45575</v>
      </c>
    </row>
    <row r="294" spans="1:10" ht="14.1" customHeight="1" x14ac:dyDescent="0.15">
      <c r="A294" s="221"/>
      <c r="B294" s="221"/>
      <c r="C294" s="221"/>
      <c r="D294" s="210" t="s">
        <v>71</v>
      </c>
      <c r="E294" s="212">
        <v>37</v>
      </c>
      <c r="F294" s="212">
        <v>8249</v>
      </c>
      <c r="G294" s="212">
        <v>305213</v>
      </c>
      <c r="H294" s="212">
        <v>2346</v>
      </c>
      <c r="I294" s="212">
        <v>86802</v>
      </c>
      <c r="J294" s="212">
        <v>218411</v>
      </c>
    </row>
    <row r="295" spans="1:10" ht="14.1" customHeight="1" x14ac:dyDescent="0.15">
      <c r="A295" s="221"/>
      <c r="B295" s="221"/>
      <c r="C295" s="221"/>
      <c r="D295" s="210" t="s">
        <v>72</v>
      </c>
      <c r="E295" s="212">
        <v>1</v>
      </c>
      <c r="F295" s="212">
        <v>5672</v>
      </c>
      <c r="G295" s="212">
        <v>5672</v>
      </c>
      <c r="H295" s="212">
        <v>2346</v>
      </c>
      <c r="I295" s="212">
        <v>2346</v>
      </c>
      <c r="J295" s="212">
        <v>3326</v>
      </c>
    </row>
    <row r="296" spans="1:10" ht="14.1" customHeight="1" x14ac:dyDescent="0.15">
      <c r="A296" s="221"/>
      <c r="B296" s="221"/>
      <c r="C296" s="221"/>
      <c r="D296" s="210" t="s">
        <v>82</v>
      </c>
      <c r="E296" s="212">
        <v>1</v>
      </c>
      <c r="F296" s="212">
        <v>3831</v>
      </c>
      <c r="G296" s="212">
        <v>3831</v>
      </c>
      <c r="H296" s="212">
        <v>2346</v>
      </c>
      <c r="I296" s="212">
        <v>2346</v>
      </c>
      <c r="J296" s="212">
        <v>1485</v>
      </c>
    </row>
    <row r="297" spans="1:10" ht="29.1" customHeight="1" x14ac:dyDescent="0.15">
      <c r="A297" s="221"/>
      <c r="B297" s="221"/>
      <c r="C297" s="222" t="s">
        <v>161</v>
      </c>
      <c r="D297" s="210" t="s">
        <v>88</v>
      </c>
      <c r="E297" s="212">
        <v>15</v>
      </c>
      <c r="F297" s="212">
        <v>61914</v>
      </c>
      <c r="G297" s="212">
        <v>928710</v>
      </c>
      <c r="H297" s="212">
        <v>1627</v>
      </c>
      <c r="I297" s="212">
        <v>24405</v>
      </c>
      <c r="J297" s="212">
        <v>904305</v>
      </c>
    </row>
    <row r="298" spans="1:10" ht="14.1" customHeight="1" x14ac:dyDescent="0.15">
      <c r="A298" s="221"/>
      <c r="B298" s="221"/>
      <c r="C298" s="221"/>
      <c r="D298" s="210" t="s">
        <v>101</v>
      </c>
      <c r="E298" s="212">
        <v>81</v>
      </c>
      <c r="F298" s="212">
        <v>45688</v>
      </c>
      <c r="G298" s="212">
        <v>3700728</v>
      </c>
      <c r="H298" s="212">
        <v>1627</v>
      </c>
      <c r="I298" s="212">
        <v>131787</v>
      </c>
      <c r="J298" s="212">
        <v>3568941</v>
      </c>
    </row>
    <row r="299" spans="1:10" ht="14.1" customHeight="1" x14ac:dyDescent="0.15">
      <c r="A299" s="221"/>
      <c r="B299" s="221"/>
      <c r="C299" s="221"/>
      <c r="D299" s="210" t="s">
        <v>79</v>
      </c>
      <c r="E299" s="212">
        <v>1900</v>
      </c>
      <c r="F299" s="212">
        <v>27613</v>
      </c>
      <c r="G299" s="212">
        <v>52464700</v>
      </c>
      <c r="H299" s="212">
        <v>1627</v>
      </c>
      <c r="I299" s="212">
        <v>3091300</v>
      </c>
      <c r="J299" s="212">
        <v>49373400</v>
      </c>
    </row>
    <row r="300" spans="1:10" ht="14.1" customHeight="1" x14ac:dyDescent="0.15">
      <c r="A300" s="221"/>
      <c r="B300" s="221"/>
      <c r="C300" s="221"/>
      <c r="D300" s="210" t="s">
        <v>73</v>
      </c>
      <c r="E300" s="212">
        <v>2802</v>
      </c>
      <c r="F300" s="212">
        <v>13829</v>
      </c>
      <c r="G300" s="212">
        <v>38748858</v>
      </c>
      <c r="H300" s="212">
        <v>1627</v>
      </c>
      <c r="I300" s="212">
        <v>4558854</v>
      </c>
      <c r="J300" s="212">
        <v>34190004</v>
      </c>
    </row>
    <row r="301" spans="1:10" ht="14.1" customHeight="1" x14ac:dyDescent="0.15">
      <c r="A301" s="221"/>
      <c r="B301" s="221"/>
      <c r="C301" s="221"/>
      <c r="D301" s="210" t="s">
        <v>74</v>
      </c>
      <c r="E301" s="212">
        <v>3033</v>
      </c>
      <c r="F301" s="212">
        <v>10742</v>
      </c>
      <c r="G301" s="212">
        <v>32580486</v>
      </c>
      <c r="H301" s="212">
        <v>1627</v>
      </c>
      <c r="I301" s="212">
        <v>4934691</v>
      </c>
      <c r="J301" s="212">
        <v>27645795</v>
      </c>
    </row>
    <row r="302" spans="1:10" ht="14.1" customHeight="1" x14ac:dyDescent="0.15">
      <c r="A302" s="221"/>
      <c r="B302" s="221"/>
      <c r="C302" s="221"/>
      <c r="D302" s="210" t="s">
        <v>71</v>
      </c>
      <c r="E302" s="212">
        <v>5283</v>
      </c>
      <c r="F302" s="212">
        <v>7530</v>
      </c>
      <c r="G302" s="212">
        <v>39780990</v>
      </c>
      <c r="H302" s="212">
        <v>1627</v>
      </c>
      <c r="I302" s="212">
        <v>8595441</v>
      </c>
      <c r="J302" s="212">
        <v>31185549</v>
      </c>
    </row>
    <row r="303" spans="1:10" ht="14.1" customHeight="1" x14ac:dyDescent="0.15">
      <c r="A303" s="221"/>
      <c r="B303" s="221"/>
      <c r="C303" s="221"/>
      <c r="D303" s="210" t="s">
        <v>72</v>
      </c>
      <c r="E303" s="212">
        <v>774</v>
      </c>
      <c r="F303" s="212">
        <v>4953</v>
      </c>
      <c r="G303" s="212">
        <v>3833622</v>
      </c>
      <c r="H303" s="212">
        <v>1627</v>
      </c>
      <c r="I303" s="212">
        <v>1259298</v>
      </c>
      <c r="J303" s="212">
        <v>2574324</v>
      </c>
    </row>
    <row r="304" spans="1:10" ht="14.1" customHeight="1" x14ac:dyDescent="0.15">
      <c r="A304" s="221"/>
      <c r="B304" s="221"/>
      <c r="C304" s="221"/>
      <c r="D304" s="210" t="s">
        <v>82</v>
      </c>
      <c r="E304" s="212">
        <v>838</v>
      </c>
      <c r="F304" s="212">
        <v>3112</v>
      </c>
      <c r="G304" s="212">
        <v>2607856</v>
      </c>
      <c r="H304" s="212">
        <v>1627</v>
      </c>
      <c r="I304" s="212">
        <v>1363426</v>
      </c>
      <c r="J304" s="212">
        <v>1244430</v>
      </c>
    </row>
    <row r="305" spans="1:10" ht="14.1" customHeight="1" x14ac:dyDescent="0.15">
      <c r="A305" s="221"/>
      <c r="B305" s="221"/>
      <c r="C305" s="221"/>
      <c r="D305" s="210" t="s">
        <v>75</v>
      </c>
      <c r="E305" s="212">
        <v>555</v>
      </c>
      <c r="F305" s="212">
        <v>1907</v>
      </c>
      <c r="G305" s="212">
        <v>1058385</v>
      </c>
      <c r="H305" s="212">
        <v>1627</v>
      </c>
      <c r="I305" s="212">
        <v>902985</v>
      </c>
      <c r="J305" s="212">
        <v>155400</v>
      </c>
    </row>
    <row r="306" spans="1:10" ht="14.1" customHeight="1" x14ac:dyDescent="0.15">
      <c r="A306" s="221" t="s">
        <v>93</v>
      </c>
      <c r="B306" s="221" t="s">
        <v>53</v>
      </c>
      <c r="C306" s="221"/>
      <c r="D306" s="221"/>
      <c r="E306" s="212">
        <v>1900</v>
      </c>
      <c r="F306" s="212">
        <v>230799</v>
      </c>
      <c r="G306" s="212">
        <v>41173061</v>
      </c>
      <c r="H306" s="212"/>
      <c r="I306" s="212">
        <v>1370079</v>
      </c>
      <c r="J306" s="212">
        <v>39802982</v>
      </c>
    </row>
    <row r="307" spans="1:10" ht="14.1" customHeight="1" x14ac:dyDescent="0.15">
      <c r="A307" s="221"/>
      <c r="B307" s="210" t="s">
        <v>63</v>
      </c>
      <c r="C307" s="210" t="s">
        <v>64</v>
      </c>
      <c r="D307" s="210" t="s">
        <v>65</v>
      </c>
      <c r="E307" s="218">
        <v>1</v>
      </c>
      <c r="F307" s="218">
        <v>26911</v>
      </c>
      <c r="G307" s="218">
        <v>26911</v>
      </c>
      <c r="H307" s="218">
        <v>0</v>
      </c>
      <c r="I307" s="218">
        <v>0</v>
      </c>
      <c r="J307" s="218">
        <v>26911</v>
      </c>
    </row>
    <row r="308" spans="1:10" ht="29.1" customHeight="1" x14ac:dyDescent="0.15">
      <c r="A308" s="221"/>
      <c r="B308" s="222" t="s">
        <v>167</v>
      </c>
      <c r="C308" s="223" t="s">
        <v>67</v>
      </c>
      <c r="D308" s="210" t="s">
        <v>145</v>
      </c>
      <c r="E308" s="219"/>
      <c r="F308" s="219"/>
      <c r="G308" s="219"/>
      <c r="H308" s="219"/>
      <c r="I308" s="219"/>
      <c r="J308" s="219"/>
    </row>
    <row r="309" spans="1:10" ht="14.1" customHeight="1" x14ac:dyDescent="0.15">
      <c r="A309" s="221"/>
      <c r="B309" s="221"/>
      <c r="C309" s="221"/>
      <c r="D309" s="210" t="s">
        <v>141</v>
      </c>
      <c r="E309" s="212">
        <v>5</v>
      </c>
      <c r="F309" s="212">
        <v>13127</v>
      </c>
      <c r="G309" s="212">
        <v>65635</v>
      </c>
      <c r="H309" s="212">
        <v>0</v>
      </c>
      <c r="I309" s="212">
        <v>0</v>
      </c>
      <c r="J309" s="212">
        <v>65635</v>
      </c>
    </row>
    <row r="310" spans="1:10" ht="14.1" customHeight="1" x14ac:dyDescent="0.15">
      <c r="A310" s="221"/>
      <c r="B310" s="221"/>
      <c r="C310" s="221"/>
      <c r="D310" s="210" t="s">
        <v>83</v>
      </c>
      <c r="E310" s="212">
        <v>2</v>
      </c>
      <c r="F310" s="212">
        <v>10040</v>
      </c>
      <c r="G310" s="212">
        <v>20080</v>
      </c>
      <c r="H310" s="212">
        <v>0</v>
      </c>
      <c r="I310" s="212">
        <v>0</v>
      </c>
      <c r="J310" s="212">
        <v>20080</v>
      </c>
    </row>
    <row r="311" spans="1:10" ht="14.1" customHeight="1" x14ac:dyDescent="0.15">
      <c r="A311" s="221"/>
      <c r="B311" s="221"/>
      <c r="C311" s="221"/>
      <c r="D311" s="210" t="s">
        <v>77</v>
      </c>
      <c r="E311" s="212">
        <v>1</v>
      </c>
      <c r="F311" s="212">
        <v>6828</v>
      </c>
      <c r="G311" s="212">
        <v>6828</v>
      </c>
      <c r="H311" s="212">
        <v>0</v>
      </c>
      <c r="I311" s="212">
        <v>0</v>
      </c>
      <c r="J311" s="212">
        <v>6828</v>
      </c>
    </row>
    <row r="312" spans="1:10" ht="29.1" customHeight="1" x14ac:dyDescent="0.15">
      <c r="A312" s="221"/>
      <c r="B312" s="221"/>
      <c r="C312" s="222" t="s">
        <v>159</v>
      </c>
      <c r="D312" s="210" t="s">
        <v>79</v>
      </c>
      <c r="E312" s="212">
        <v>10</v>
      </c>
      <c r="F312" s="212">
        <v>28332</v>
      </c>
      <c r="G312" s="212">
        <v>283320</v>
      </c>
      <c r="H312" s="212">
        <v>1421</v>
      </c>
      <c r="I312" s="212">
        <v>14210</v>
      </c>
      <c r="J312" s="212">
        <v>269110</v>
      </c>
    </row>
    <row r="313" spans="1:10" ht="14.1" customHeight="1" x14ac:dyDescent="0.15">
      <c r="A313" s="221"/>
      <c r="B313" s="221"/>
      <c r="C313" s="221"/>
      <c r="D313" s="210" t="s">
        <v>139</v>
      </c>
      <c r="E313" s="212">
        <v>2</v>
      </c>
      <c r="F313" s="212">
        <v>5518</v>
      </c>
      <c r="G313" s="212">
        <v>11036</v>
      </c>
      <c r="H313" s="212">
        <v>1421</v>
      </c>
      <c r="I313" s="212">
        <v>2842</v>
      </c>
      <c r="J313" s="212">
        <v>8194</v>
      </c>
    </row>
    <row r="314" spans="1:10" ht="14.1" customHeight="1" x14ac:dyDescent="0.15">
      <c r="A314" s="221"/>
      <c r="B314" s="221"/>
      <c r="C314" s="221"/>
      <c r="D314" s="210" t="s">
        <v>140</v>
      </c>
      <c r="E314" s="212">
        <v>1</v>
      </c>
      <c r="F314" s="212">
        <v>6524</v>
      </c>
      <c r="G314" s="212">
        <v>6524</v>
      </c>
      <c r="H314" s="212">
        <v>1421</v>
      </c>
      <c r="I314" s="212">
        <v>1421</v>
      </c>
      <c r="J314" s="212">
        <v>5103</v>
      </c>
    </row>
    <row r="315" spans="1:10" ht="29.1" customHeight="1" x14ac:dyDescent="0.15">
      <c r="A315" s="221"/>
      <c r="B315" s="221"/>
      <c r="C315" s="209" t="s">
        <v>160</v>
      </c>
      <c r="D315" s="210" t="s">
        <v>73</v>
      </c>
      <c r="E315" s="212">
        <v>50</v>
      </c>
      <c r="F315" s="212">
        <v>14401</v>
      </c>
      <c r="G315" s="212">
        <v>720045</v>
      </c>
      <c r="H315" s="212">
        <v>1367</v>
      </c>
      <c r="I315" s="212">
        <v>68350</v>
      </c>
      <c r="J315" s="212">
        <v>651695</v>
      </c>
    </row>
    <row r="316" spans="1:10" ht="29.1" customHeight="1" x14ac:dyDescent="0.15">
      <c r="A316" s="221"/>
      <c r="B316" s="221"/>
      <c r="C316" s="222" t="s">
        <v>161</v>
      </c>
      <c r="D316" s="210" t="s">
        <v>101</v>
      </c>
      <c r="E316" s="212">
        <v>9</v>
      </c>
      <c r="F316" s="212">
        <v>45688</v>
      </c>
      <c r="G316" s="212">
        <v>411192</v>
      </c>
      <c r="H316" s="212">
        <v>702</v>
      </c>
      <c r="I316" s="212">
        <v>6318</v>
      </c>
      <c r="J316" s="212">
        <v>404874</v>
      </c>
    </row>
    <row r="317" spans="1:10" ht="14.1" customHeight="1" x14ac:dyDescent="0.15">
      <c r="A317" s="221"/>
      <c r="B317" s="221"/>
      <c r="C317" s="221"/>
      <c r="D317" s="210" t="s">
        <v>79</v>
      </c>
      <c r="E317" s="212">
        <v>1148</v>
      </c>
      <c r="F317" s="212">
        <v>27613</v>
      </c>
      <c r="G317" s="212">
        <v>31699724</v>
      </c>
      <c r="H317" s="212">
        <v>702</v>
      </c>
      <c r="I317" s="212">
        <v>805896</v>
      </c>
      <c r="J317" s="212">
        <v>30893828</v>
      </c>
    </row>
    <row r="318" spans="1:10" ht="14.1" customHeight="1" x14ac:dyDescent="0.15">
      <c r="A318" s="221"/>
      <c r="B318" s="221"/>
      <c r="C318" s="221"/>
      <c r="D318" s="210" t="s">
        <v>73</v>
      </c>
      <c r="E318" s="212">
        <v>399</v>
      </c>
      <c r="F318" s="212">
        <v>13829</v>
      </c>
      <c r="G318" s="212">
        <v>5517771</v>
      </c>
      <c r="H318" s="212">
        <v>702</v>
      </c>
      <c r="I318" s="212">
        <v>280098</v>
      </c>
      <c r="J318" s="212">
        <v>5237673</v>
      </c>
    </row>
    <row r="319" spans="1:10" ht="14.1" customHeight="1" x14ac:dyDescent="0.15">
      <c r="A319" s="221"/>
      <c r="B319" s="221"/>
      <c r="C319" s="221"/>
      <c r="D319" s="210" t="s">
        <v>74</v>
      </c>
      <c r="E319" s="212">
        <v>160</v>
      </c>
      <c r="F319" s="212">
        <v>10742</v>
      </c>
      <c r="G319" s="212">
        <v>1718720</v>
      </c>
      <c r="H319" s="212">
        <v>702</v>
      </c>
      <c r="I319" s="212">
        <v>112320</v>
      </c>
      <c r="J319" s="212">
        <v>1606400</v>
      </c>
    </row>
    <row r="320" spans="1:10" ht="14.1" customHeight="1" x14ac:dyDescent="0.15">
      <c r="A320" s="221"/>
      <c r="B320" s="221"/>
      <c r="C320" s="221"/>
      <c r="D320" s="210" t="s">
        <v>71</v>
      </c>
      <c r="E320" s="212">
        <v>26</v>
      </c>
      <c r="F320" s="212">
        <v>7530</v>
      </c>
      <c r="G320" s="212">
        <v>195780</v>
      </c>
      <c r="H320" s="212">
        <v>702</v>
      </c>
      <c r="I320" s="212">
        <v>18252</v>
      </c>
      <c r="J320" s="212">
        <v>177528</v>
      </c>
    </row>
    <row r="321" spans="1:10" ht="14.1" customHeight="1" x14ac:dyDescent="0.15">
      <c r="A321" s="221"/>
      <c r="B321" s="221"/>
      <c r="C321" s="221"/>
      <c r="D321" s="210" t="s">
        <v>82</v>
      </c>
      <c r="E321" s="212">
        <v>1</v>
      </c>
      <c r="F321" s="212">
        <v>3112</v>
      </c>
      <c r="G321" s="212">
        <v>3112</v>
      </c>
      <c r="H321" s="212">
        <v>702</v>
      </c>
      <c r="I321" s="212">
        <v>702</v>
      </c>
      <c r="J321" s="212">
        <v>2410</v>
      </c>
    </row>
    <row r="322" spans="1:10" ht="14.1" customHeight="1" x14ac:dyDescent="0.15">
      <c r="A322" s="221"/>
      <c r="B322" s="221"/>
      <c r="C322" s="221"/>
      <c r="D322" s="210" t="s">
        <v>139</v>
      </c>
      <c r="E322" s="212">
        <v>7</v>
      </c>
      <c r="F322" s="212">
        <v>4799</v>
      </c>
      <c r="G322" s="212">
        <v>33593</v>
      </c>
      <c r="H322" s="212">
        <v>702</v>
      </c>
      <c r="I322" s="212">
        <v>4914</v>
      </c>
      <c r="J322" s="212">
        <v>28679</v>
      </c>
    </row>
    <row r="323" spans="1:10" ht="14.1" customHeight="1" x14ac:dyDescent="0.15">
      <c r="A323" s="221"/>
      <c r="B323" s="221"/>
      <c r="C323" s="221"/>
      <c r="D323" s="210" t="s">
        <v>140</v>
      </c>
      <c r="E323" s="212">
        <v>78</v>
      </c>
      <c r="F323" s="212">
        <v>5805</v>
      </c>
      <c r="G323" s="212">
        <v>452790</v>
      </c>
      <c r="H323" s="212">
        <v>702</v>
      </c>
      <c r="I323" s="212">
        <v>54756</v>
      </c>
      <c r="J323" s="212">
        <v>398034</v>
      </c>
    </row>
    <row r="324" spans="1:10" ht="29.1" customHeight="1" x14ac:dyDescent="0.15">
      <c r="A324" s="222" t="s">
        <v>113</v>
      </c>
      <c r="B324" s="221" t="s">
        <v>53</v>
      </c>
      <c r="C324" s="221"/>
      <c r="D324" s="221"/>
      <c r="E324" s="212">
        <v>24964</v>
      </c>
      <c r="F324" s="212">
        <v>953977</v>
      </c>
      <c r="G324" s="212">
        <v>414814279</v>
      </c>
      <c r="H324" s="212"/>
      <c r="I324" s="212">
        <v>59861591</v>
      </c>
      <c r="J324" s="212">
        <v>354952688</v>
      </c>
    </row>
    <row r="325" spans="1:10" ht="14.1" customHeight="1" x14ac:dyDescent="0.15">
      <c r="A325" s="221"/>
      <c r="B325" s="210" t="s">
        <v>63</v>
      </c>
      <c r="C325" s="210" t="s">
        <v>64</v>
      </c>
      <c r="D325" s="210" t="s">
        <v>65</v>
      </c>
      <c r="E325" s="218">
        <v>16</v>
      </c>
      <c r="F325" s="218">
        <v>10139</v>
      </c>
      <c r="G325" s="218">
        <v>162224</v>
      </c>
      <c r="H325" s="218">
        <v>0</v>
      </c>
      <c r="I325" s="218">
        <v>0</v>
      </c>
      <c r="J325" s="218">
        <v>162224</v>
      </c>
    </row>
    <row r="326" spans="1:10" ht="14.1" customHeight="1" x14ac:dyDescent="0.15">
      <c r="A326" s="221"/>
      <c r="B326" s="220" t="s">
        <v>66</v>
      </c>
      <c r="C326" s="223" t="s">
        <v>67</v>
      </c>
      <c r="D326" s="210" t="s">
        <v>134</v>
      </c>
      <c r="E326" s="219"/>
      <c r="F326" s="219"/>
      <c r="G326" s="219"/>
      <c r="H326" s="219"/>
      <c r="I326" s="219"/>
      <c r="J326" s="219"/>
    </row>
    <row r="327" spans="1:10" ht="14.1" customHeight="1" x14ac:dyDescent="0.15">
      <c r="A327" s="221"/>
      <c r="B327" s="221"/>
      <c r="C327" s="221"/>
      <c r="D327" s="210" t="s">
        <v>132</v>
      </c>
      <c r="E327" s="212">
        <v>10</v>
      </c>
      <c r="F327" s="212">
        <v>10139</v>
      </c>
      <c r="G327" s="212">
        <v>101390</v>
      </c>
      <c r="H327" s="212">
        <v>0</v>
      </c>
      <c r="I327" s="212">
        <v>0</v>
      </c>
      <c r="J327" s="212">
        <v>101390</v>
      </c>
    </row>
    <row r="328" spans="1:10" ht="29.1" customHeight="1" x14ac:dyDescent="0.15">
      <c r="A328" s="221"/>
      <c r="B328" s="221"/>
      <c r="C328" s="209" t="s">
        <v>159</v>
      </c>
      <c r="D328" s="210" t="s">
        <v>133</v>
      </c>
      <c r="E328" s="212">
        <v>20</v>
      </c>
      <c r="F328" s="212">
        <v>11560</v>
      </c>
      <c r="G328" s="212">
        <v>231200</v>
      </c>
      <c r="H328" s="212">
        <v>2346</v>
      </c>
      <c r="I328" s="212">
        <v>46920</v>
      </c>
      <c r="J328" s="212">
        <v>184280</v>
      </c>
    </row>
    <row r="329" spans="1:10" ht="29.1" customHeight="1" x14ac:dyDescent="0.15">
      <c r="A329" s="221"/>
      <c r="B329" s="221"/>
      <c r="C329" s="209" t="s">
        <v>161</v>
      </c>
      <c r="D329" s="210" t="s">
        <v>133</v>
      </c>
      <c r="E329" s="212">
        <v>1698</v>
      </c>
      <c r="F329" s="212">
        <v>10841</v>
      </c>
      <c r="G329" s="212">
        <v>18408018</v>
      </c>
      <c r="H329" s="212">
        <v>1627</v>
      </c>
      <c r="I329" s="212">
        <v>2762646</v>
      </c>
      <c r="J329" s="212">
        <v>15645372</v>
      </c>
    </row>
    <row r="330" spans="1:10" ht="14.1" customHeight="1" x14ac:dyDescent="0.15">
      <c r="A330" s="221"/>
      <c r="B330" s="220" t="s">
        <v>76</v>
      </c>
      <c r="C330" s="211" t="s">
        <v>67</v>
      </c>
      <c r="D330" s="210" t="s">
        <v>77</v>
      </c>
      <c r="E330" s="212">
        <v>2</v>
      </c>
      <c r="F330" s="212">
        <v>6828</v>
      </c>
      <c r="G330" s="212">
        <v>13656</v>
      </c>
      <c r="H330" s="212">
        <v>0</v>
      </c>
      <c r="I330" s="212">
        <v>0</v>
      </c>
      <c r="J330" s="212">
        <v>13656</v>
      </c>
    </row>
    <row r="331" spans="1:10" ht="29.1" customHeight="1" x14ac:dyDescent="0.15">
      <c r="A331" s="221"/>
      <c r="B331" s="221"/>
      <c r="C331" s="209" t="s">
        <v>159</v>
      </c>
      <c r="D331" s="210" t="s">
        <v>87</v>
      </c>
      <c r="E331" s="212">
        <v>1</v>
      </c>
      <c r="F331" s="212">
        <v>13362</v>
      </c>
      <c r="G331" s="212">
        <v>13362</v>
      </c>
      <c r="H331" s="212">
        <v>6286</v>
      </c>
      <c r="I331" s="212">
        <v>6286</v>
      </c>
      <c r="J331" s="212">
        <v>7076</v>
      </c>
    </row>
    <row r="332" spans="1:10" ht="29.1" customHeight="1" x14ac:dyDescent="0.15">
      <c r="A332" s="221"/>
      <c r="B332" s="221"/>
      <c r="C332" s="222" t="s">
        <v>161</v>
      </c>
      <c r="D332" s="210" t="s">
        <v>87</v>
      </c>
      <c r="E332" s="212">
        <v>1</v>
      </c>
      <c r="F332" s="212">
        <v>13362</v>
      </c>
      <c r="G332" s="212">
        <v>13362</v>
      </c>
      <c r="H332" s="212">
        <v>6286</v>
      </c>
      <c r="I332" s="212">
        <v>6286</v>
      </c>
      <c r="J332" s="212">
        <v>7076</v>
      </c>
    </row>
    <row r="333" spans="1:10" ht="14.1" customHeight="1" x14ac:dyDescent="0.15">
      <c r="A333" s="221"/>
      <c r="B333" s="221"/>
      <c r="C333" s="221"/>
      <c r="D333" s="210" t="s">
        <v>71</v>
      </c>
      <c r="E333" s="212">
        <v>5</v>
      </c>
      <c r="F333" s="212">
        <v>7530</v>
      </c>
      <c r="G333" s="212">
        <v>37650</v>
      </c>
      <c r="H333" s="212">
        <v>702</v>
      </c>
      <c r="I333" s="212">
        <v>3510</v>
      </c>
      <c r="J333" s="212">
        <v>34140</v>
      </c>
    </row>
    <row r="334" spans="1:10" ht="14.1" customHeight="1" x14ac:dyDescent="0.15">
      <c r="A334" s="221"/>
      <c r="B334" s="220" t="s">
        <v>162</v>
      </c>
      <c r="C334" s="223" t="s">
        <v>108</v>
      </c>
      <c r="D334" s="210" t="s">
        <v>163</v>
      </c>
      <c r="E334" s="212">
        <v>771</v>
      </c>
      <c r="F334" s="212">
        <v>23712</v>
      </c>
      <c r="G334" s="212">
        <v>18281952</v>
      </c>
      <c r="H334" s="212">
        <v>3932</v>
      </c>
      <c r="I334" s="212">
        <v>3031572</v>
      </c>
      <c r="J334" s="212">
        <v>15250380</v>
      </c>
    </row>
    <row r="335" spans="1:10" ht="14.1" customHeight="1" x14ac:dyDescent="0.15">
      <c r="A335" s="221"/>
      <c r="B335" s="221"/>
      <c r="C335" s="221"/>
      <c r="D335" s="210" t="s">
        <v>164</v>
      </c>
      <c r="E335" s="212">
        <v>20</v>
      </c>
      <c r="F335" s="212">
        <v>5175</v>
      </c>
      <c r="G335" s="212">
        <v>103500</v>
      </c>
      <c r="H335" s="212">
        <v>0</v>
      </c>
      <c r="I335" s="212">
        <v>0</v>
      </c>
      <c r="J335" s="212">
        <v>103500</v>
      </c>
    </row>
    <row r="336" spans="1:10" ht="14.1" customHeight="1" x14ac:dyDescent="0.15">
      <c r="A336" s="221"/>
      <c r="B336" s="221"/>
      <c r="C336" s="221"/>
      <c r="D336" s="210" t="s">
        <v>165</v>
      </c>
      <c r="E336" s="212">
        <v>8795</v>
      </c>
      <c r="F336" s="212">
        <v>20422</v>
      </c>
      <c r="G336" s="212">
        <v>179611490</v>
      </c>
      <c r="H336" s="212">
        <v>3932</v>
      </c>
      <c r="I336" s="212">
        <v>34581940</v>
      </c>
      <c r="J336" s="212">
        <v>145029550</v>
      </c>
    </row>
    <row r="337" spans="1:10" ht="14.1" customHeight="1" x14ac:dyDescent="0.15">
      <c r="A337" s="221"/>
      <c r="B337" s="221"/>
      <c r="C337" s="221"/>
      <c r="D337" s="210" t="s">
        <v>166</v>
      </c>
      <c r="E337" s="212">
        <v>19</v>
      </c>
      <c r="F337" s="212">
        <v>2853</v>
      </c>
      <c r="G337" s="212">
        <v>54207</v>
      </c>
      <c r="H337" s="212">
        <v>0</v>
      </c>
      <c r="I337" s="212">
        <v>0</v>
      </c>
      <c r="J337" s="212">
        <v>54207</v>
      </c>
    </row>
    <row r="338" spans="1:10" ht="29.1" customHeight="1" x14ac:dyDescent="0.15">
      <c r="A338" s="221"/>
      <c r="B338" s="222" t="s">
        <v>167</v>
      </c>
      <c r="C338" s="223" t="s">
        <v>67</v>
      </c>
      <c r="D338" s="210" t="s">
        <v>154</v>
      </c>
      <c r="E338" s="212">
        <v>1</v>
      </c>
      <c r="F338" s="212">
        <v>44986</v>
      </c>
      <c r="G338" s="212">
        <v>44986</v>
      </c>
      <c r="H338" s="212">
        <v>0</v>
      </c>
      <c r="I338" s="212">
        <v>0</v>
      </c>
      <c r="J338" s="212">
        <v>44986</v>
      </c>
    </row>
    <row r="339" spans="1:10" ht="14.1" customHeight="1" x14ac:dyDescent="0.15">
      <c r="A339" s="221"/>
      <c r="B339" s="221"/>
      <c r="C339" s="221"/>
      <c r="D339" s="210" t="s">
        <v>145</v>
      </c>
      <c r="E339" s="212">
        <v>6</v>
      </c>
      <c r="F339" s="212">
        <v>26911</v>
      </c>
      <c r="G339" s="212">
        <v>161466</v>
      </c>
      <c r="H339" s="212">
        <v>0</v>
      </c>
      <c r="I339" s="212">
        <v>0</v>
      </c>
      <c r="J339" s="212">
        <v>161466</v>
      </c>
    </row>
    <row r="340" spans="1:10" ht="14.1" customHeight="1" x14ac:dyDescent="0.15">
      <c r="A340" s="221"/>
      <c r="B340" s="221"/>
      <c r="C340" s="221"/>
      <c r="D340" s="210" t="s">
        <v>85</v>
      </c>
      <c r="E340" s="212">
        <v>5</v>
      </c>
      <c r="F340" s="212">
        <v>26911</v>
      </c>
      <c r="G340" s="212">
        <v>134555</v>
      </c>
      <c r="H340" s="212">
        <v>0</v>
      </c>
      <c r="I340" s="212">
        <v>0</v>
      </c>
      <c r="J340" s="212">
        <v>134555</v>
      </c>
    </row>
    <row r="341" spans="1:10" ht="14.1" customHeight="1" x14ac:dyDescent="0.15">
      <c r="A341" s="221"/>
      <c r="B341" s="221"/>
      <c r="C341" s="221"/>
      <c r="D341" s="210" t="s">
        <v>141</v>
      </c>
      <c r="E341" s="212">
        <v>12</v>
      </c>
      <c r="F341" s="212">
        <v>13127</v>
      </c>
      <c r="G341" s="212">
        <v>157524</v>
      </c>
      <c r="H341" s="212">
        <v>0</v>
      </c>
      <c r="I341" s="212">
        <v>0</v>
      </c>
      <c r="J341" s="212">
        <v>157524</v>
      </c>
    </row>
    <row r="342" spans="1:10" ht="14.1" customHeight="1" x14ac:dyDescent="0.15">
      <c r="A342" s="221"/>
      <c r="B342" s="221"/>
      <c r="C342" s="221"/>
      <c r="D342" s="210" t="s">
        <v>78</v>
      </c>
      <c r="E342" s="212">
        <v>12</v>
      </c>
      <c r="F342" s="212">
        <v>13127</v>
      </c>
      <c r="G342" s="212">
        <v>157524</v>
      </c>
      <c r="H342" s="212">
        <v>0</v>
      </c>
      <c r="I342" s="212">
        <v>0</v>
      </c>
      <c r="J342" s="212">
        <v>157524</v>
      </c>
    </row>
    <row r="343" spans="1:10" ht="14.1" customHeight="1" x14ac:dyDescent="0.15">
      <c r="A343" s="221"/>
      <c r="B343" s="221"/>
      <c r="C343" s="221"/>
      <c r="D343" s="210" t="s">
        <v>146</v>
      </c>
      <c r="E343" s="212">
        <v>3</v>
      </c>
      <c r="F343" s="212">
        <v>10040</v>
      </c>
      <c r="G343" s="212">
        <v>30120</v>
      </c>
      <c r="H343" s="212">
        <v>0</v>
      </c>
      <c r="I343" s="212">
        <v>0</v>
      </c>
      <c r="J343" s="212">
        <v>30120</v>
      </c>
    </row>
    <row r="344" spans="1:10" ht="14.1" customHeight="1" x14ac:dyDescent="0.15">
      <c r="A344" s="221"/>
      <c r="B344" s="221"/>
      <c r="C344" s="221"/>
      <c r="D344" s="210" t="s">
        <v>83</v>
      </c>
      <c r="E344" s="212">
        <v>14</v>
      </c>
      <c r="F344" s="212">
        <v>10040</v>
      </c>
      <c r="G344" s="212">
        <v>140560</v>
      </c>
      <c r="H344" s="212">
        <v>0</v>
      </c>
      <c r="I344" s="212">
        <v>0</v>
      </c>
      <c r="J344" s="212">
        <v>140560</v>
      </c>
    </row>
    <row r="345" spans="1:10" ht="14.1" customHeight="1" x14ac:dyDescent="0.15">
      <c r="A345" s="221"/>
      <c r="B345" s="221"/>
      <c r="C345" s="221"/>
      <c r="D345" s="210" t="s">
        <v>136</v>
      </c>
      <c r="E345" s="212">
        <v>2</v>
      </c>
      <c r="F345" s="212">
        <v>6828</v>
      </c>
      <c r="G345" s="212">
        <v>13656</v>
      </c>
      <c r="H345" s="212">
        <v>0</v>
      </c>
      <c r="I345" s="212">
        <v>0</v>
      </c>
      <c r="J345" s="212">
        <v>13656</v>
      </c>
    </row>
    <row r="346" spans="1:10" ht="14.1" customHeight="1" x14ac:dyDescent="0.15">
      <c r="A346" s="221"/>
      <c r="B346" s="221"/>
      <c r="C346" s="221"/>
      <c r="D346" s="210" t="s">
        <v>77</v>
      </c>
      <c r="E346" s="212">
        <v>5</v>
      </c>
      <c r="F346" s="212">
        <v>6828</v>
      </c>
      <c r="G346" s="212">
        <v>34140</v>
      </c>
      <c r="H346" s="212">
        <v>0</v>
      </c>
      <c r="I346" s="212">
        <v>0</v>
      </c>
      <c r="J346" s="212">
        <v>34140</v>
      </c>
    </row>
    <row r="347" spans="1:10" ht="14.1" customHeight="1" x14ac:dyDescent="0.15">
      <c r="A347" s="221"/>
      <c r="B347" s="221"/>
      <c r="C347" s="221"/>
      <c r="D347" s="210" t="s">
        <v>86</v>
      </c>
      <c r="E347" s="212">
        <v>2</v>
      </c>
      <c r="F347" s="212">
        <v>4251</v>
      </c>
      <c r="G347" s="212">
        <v>8502</v>
      </c>
      <c r="H347" s="212">
        <v>0</v>
      </c>
      <c r="I347" s="212">
        <v>0</v>
      </c>
      <c r="J347" s="212">
        <v>8502</v>
      </c>
    </row>
    <row r="348" spans="1:10" ht="14.1" customHeight="1" x14ac:dyDescent="0.15">
      <c r="A348" s="221"/>
      <c r="B348" s="221"/>
      <c r="C348" s="221"/>
      <c r="D348" s="210" t="s">
        <v>143</v>
      </c>
      <c r="E348" s="212">
        <v>1</v>
      </c>
      <c r="F348" s="212">
        <v>5103</v>
      </c>
      <c r="G348" s="212">
        <v>5103</v>
      </c>
      <c r="H348" s="212">
        <v>0</v>
      </c>
      <c r="I348" s="212">
        <v>0</v>
      </c>
      <c r="J348" s="212">
        <v>5103</v>
      </c>
    </row>
    <row r="349" spans="1:10" ht="29.1" customHeight="1" x14ac:dyDescent="0.15">
      <c r="A349" s="221"/>
      <c r="B349" s="221"/>
      <c r="C349" s="222" t="s">
        <v>159</v>
      </c>
      <c r="D349" s="210" t="s">
        <v>79</v>
      </c>
      <c r="E349" s="212">
        <v>1</v>
      </c>
      <c r="F349" s="212">
        <v>28332</v>
      </c>
      <c r="G349" s="212">
        <v>28332</v>
      </c>
      <c r="H349" s="212">
        <v>1421</v>
      </c>
      <c r="I349" s="212">
        <v>1421</v>
      </c>
      <c r="J349" s="212">
        <v>26911</v>
      </c>
    </row>
    <row r="350" spans="1:10" ht="14.1" customHeight="1" x14ac:dyDescent="0.15">
      <c r="A350" s="221"/>
      <c r="B350" s="221"/>
      <c r="C350" s="221"/>
      <c r="D350" s="210" t="s">
        <v>71</v>
      </c>
      <c r="E350" s="212">
        <v>1</v>
      </c>
      <c r="F350" s="212">
        <v>8249</v>
      </c>
      <c r="G350" s="212">
        <v>8249</v>
      </c>
      <c r="H350" s="212">
        <v>1421</v>
      </c>
      <c r="I350" s="212">
        <v>1421</v>
      </c>
      <c r="J350" s="212">
        <v>6828</v>
      </c>
    </row>
    <row r="351" spans="1:10" ht="14.1" customHeight="1" x14ac:dyDescent="0.15">
      <c r="A351" s="221"/>
      <c r="B351" s="221"/>
      <c r="C351" s="221"/>
      <c r="D351" s="210" t="s">
        <v>69</v>
      </c>
      <c r="E351" s="212">
        <v>3</v>
      </c>
      <c r="F351" s="212">
        <v>25614</v>
      </c>
      <c r="G351" s="212">
        <v>76842</v>
      </c>
      <c r="H351" s="212">
        <v>1421</v>
      </c>
      <c r="I351" s="212">
        <v>4263</v>
      </c>
      <c r="J351" s="212">
        <v>72579</v>
      </c>
    </row>
    <row r="352" spans="1:10" ht="14.1" customHeight="1" x14ac:dyDescent="0.15">
      <c r="A352" s="221"/>
      <c r="B352" s="221"/>
      <c r="C352" s="221"/>
      <c r="D352" s="210" t="s">
        <v>140</v>
      </c>
      <c r="E352" s="212">
        <v>1</v>
      </c>
      <c r="F352" s="212">
        <v>6524</v>
      </c>
      <c r="G352" s="212">
        <v>6524</v>
      </c>
      <c r="H352" s="212">
        <v>1421</v>
      </c>
      <c r="I352" s="212">
        <v>1421</v>
      </c>
      <c r="J352" s="212">
        <v>5103</v>
      </c>
    </row>
    <row r="353" spans="1:10" ht="29.1" customHeight="1" x14ac:dyDescent="0.15">
      <c r="A353" s="221"/>
      <c r="B353" s="221"/>
      <c r="C353" s="222" t="s">
        <v>160</v>
      </c>
      <c r="D353" s="210" t="s">
        <v>79</v>
      </c>
      <c r="E353" s="212">
        <v>1</v>
      </c>
      <c r="F353" s="212">
        <v>28278</v>
      </c>
      <c r="G353" s="212">
        <v>28278</v>
      </c>
      <c r="H353" s="212">
        <v>1367</v>
      </c>
      <c r="I353" s="212">
        <v>1367</v>
      </c>
      <c r="J353" s="212">
        <v>26911</v>
      </c>
    </row>
    <row r="354" spans="1:10" ht="14.1" customHeight="1" x14ac:dyDescent="0.15">
      <c r="A354" s="221"/>
      <c r="B354" s="221"/>
      <c r="C354" s="221"/>
      <c r="D354" s="210" t="s">
        <v>73</v>
      </c>
      <c r="E354" s="212">
        <v>1</v>
      </c>
      <c r="F354" s="212">
        <v>13829</v>
      </c>
      <c r="G354" s="212">
        <v>13829</v>
      </c>
      <c r="H354" s="212">
        <v>1367</v>
      </c>
      <c r="I354" s="212">
        <v>1367</v>
      </c>
      <c r="J354" s="212">
        <v>12462</v>
      </c>
    </row>
    <row r="355" spans="1:10" ht="14.1" customHeight="1" x14ac:dyDescent="0.15">
      <c r="A355" s="221"/>
      <c r="B355" s="221"/>
      <c r="C355" s="221"/>
      <c r="D355" s="210" t="s">
        <v>71</v>
      </c>
      <c r="E355" s="212">
        <v>35</v>
      </c>
      <c r="F355" s="212">
        <v>7758</v>
      </c>
      <c r="G355" s="212">
        <v>271530</v>
      </c>
      <c r="H355" s="212">
        <v>1367</v>
      </c>
      <c r="I355" s="212">
        <v>47845</v>
      </c>
      <c r="J355" s="212">
        <v>223685</v>
      </c>
    </row>
    <row r="356" spans="1:10" ht="29.1" customHeight="1" x14ac:dyDescent="0.15">
      <c r="A356" s="221"/>
      <c r="B356" s="221"/>
      <c r="C356" s="222" t="s">
        <v>161</v>
      </c>
      <c r="D356" s="210" t="s">
        <v>101</v>
      </c>
      <c r="E356" s="212">
        <v>3</v>
      </c>
      <c r="F356" s="212">
        <v>45688</v>
      </c>
      <c r="G356" s="212">
        <v>137064</v>
      </c>
      <c r="H356" s="212">
        <v>702</v>
      </c>
      <c r="I356" s="212">
        <v>2106</v>
      </c>
      <c r="J356" s="212">
        <v>134958</v>
      </c>
    </row>
    <row r="357" spans="1:10" ht="14.1" customHeight="1" x14ac:dyDescent="0.15">
      <c r="A357" s="221"/>
      <c r="B357" s="221"/>
      <c r="C357" s="221"/>
      <c r="D357" s="210" t="s">
        <v>79</v>
      </c>
      <c r="E357" s="212">
        <v>733</v>
      </c>
      <c r="F357" s="212">
        <v>27613</v>
      </c>
      <c r="G357" s="212">
        <v>20240329</v>
      </c>
      <c r="H357" s="212">
        <v>702</v>
      </c>
      <c r="I357" s="212">
        <v>514566</v>
      </c>
      <c r="J357" s="212">
        <v>19725763</v>
      </c>
    </row>
    <row r="358" spans="1:10" ht="14.1" customHeight="1" x14ac:dyDescent="0.15">
      <c r="A358" s="221"/>
      <c r="B358" s="221"/>
      <c r="C358" s="221"/>
      <c r="D358" s="210" t="s">
        <v>73</v>
      </c>
      <c r="E358" s="212">
        <v>1176</v>
      </c>
      <c r="F358" s="212">
        <v>13829</v>
      </c>
      <c r="G358" s="212">
        <v>16262904</v>
      </c>
      <c r="H358" s="212">
        <v>702</v>
      </c>
      <c r="I358" s="212">
        <v>825552</v>
      </c>
      <c r="J358" s="212">
        <v>15437352</v>
      </c>
    </row>
    <row r="359" spans="1:10" ht="14.1" customHeight="1" x14ac:dyDescent="0.15">
      <c r="A359" s="221"/>
      <c r="B359" s="221"/>
      <c r="C359" s="221"/>
      <c r="D359" s="210" t="s">
        <v>74</v>
      </c>
      <c r="E359" s="212">
        <v>223</v>
      </c>
      <c r="F359" s="212">
        <v>10742</v>
      </c>
      <c r="G359" s="212">
        <v>2395466</v>
      </c>
      <c r="H359" s="212">
        <v>702</v>
      </c>
      <c r="I359" s="212">
        <v>156546</v>
      </c>
      <c r="J359" s="212">
        <v>2238920</v>
      </c>
    </row>
    <row r="360" spans="1:10" ht="14.1" customHeight="1" x14ac:dyDescent="0.15">
      <c r="A360" s="221"/>
      <c r="B360" s="221"/>
      <c r="C360" s="221"/>
      <c r="D360" s="210" t="s">
        <v>71</v>
      </c>
      <c r="E360" s="212">
        <v>338</v>
      </c>
      <c r="F360" s="212">
        <v>7530</v>
      </c>
      <c r="G360" s="212">
        <v>2545140</v>
      </c>
      <c r="H360" s="212">
        <v>702</v>
      </c>
      <c r="I360" s="212">
        <v>237276</v>
      </c>
      <c r="J360" s="212">
        <v>2307864</v>
      </c>
    </row>
    <row r="361" spans="1:10" ht="14.1" customHeight="1" x14ac:dyDescent="0.15">
      <c r="A361" s="221"/>
      <c r="B361" s="221"/>
      <c r="C361" s="221"/>
      <c r="D361" s="210" t="s">
        <v>82</v>
      </c>
      <c r="E361" s="212">
        <v>2</v>
      </c>
      <c r="F361" s="212">
        <v>3112</v>
      </c>
      <c r="G361" s="212">
        <v>6224</v>
      </c>
      <c r="H361" s="212">
        <v>702</v>
      </c>
      <c r="I361" s="212">
        <v>1404</v>
      </c>
      <c r="J361" s="212">
        <v>4820</v>
      </c>
    </row>
    <row r="362" spans="1:10" ht="14.1" customHeight="1" x14ac:dyDescent="0.15">
      <c r="A362" s="221"/>
      <c r="B362" s="221"/>
      <c r="C362" s="221"/>
      <c r="D362" s="210" t="s">
        <v>69</v>
      </c>
      <c r="E362" s="212">
        <v>30</v>
      </c>
      <c r="F362" s="212">
        <v>24895</v>
      </c>
      <c r="G362" s="212">
        <v>746850</v>
      </c>
      <c r="H362" s="212">
        <v>702</v>
      </c>
      <c r="I362" s="212">
        <v>21060</v>
      </c>
      <c r="J362" s="212">
        <v>725790</v>
      </c>
    </row>
    <row r="363" spans="1:10" ht="14.1" customHeight="1" x14ac:dyDescent="0.15">
      <c r="A363" s="221"/>
      <c r="B363" s="221"/>
      <c r="C363" s="221"/>
      <c r="D363" s="210" t="s">
        <v>140</v>
      </c>
      <c r="E363" s="212">
        <v>281</v>
      </c>
      <c r="F363" s="212">
        <v>5805</v>
      </c>
      <c r="G363" s="212">
        <v>1631205</v>
      </c>
      <c r="H363" s="212">
        <v>702</v>
      </c>
      <c r="I363" s="212">
        <v>197262</v>
      </c>
      <c r="J363" s="212">
        <v>1433943</v>
      </c>
    </row>
    <row r="364" spans="1:10" ht="14.1" customHeight="1" x14ac:dyDescent="0.15">
      <c r="A364" s="221"/>
      <c r="B364" s="220" t="s">
        <v>168</v>
      </c>
      <c r="C364" s="223" t="s">
        <v>67</v>
      </c>
      <c r="D364" s="210" t="s">
        <v>154</v>
      </c>
      <c r="E364" s="212">
        <v>1</v>
      </c>
      <c r="F364" s="212">
        <v>44986</v>
      </c>
      <c r="G364" s="212">
        <v>44986</v>
      </c>
      <c r="H364" s="212">
        <v>925</v>
      </c>
      <c r="I364" s="212">
        <v>925</v>
      </c>
      <c r="J364" s="212">
        <v>44061</v>
      </c>
    </row>
    <row r="365" spans="1:10" ht="14.1" customHeight="1" x14ac:dyDescent="0.15">
      <c r="A365" s="221"/>
      <c r="B365" s="221"/>
      <c r="C365" s="221"/>
      <c r="D365" s="210" t="s">
        <v>145</v>
      </c>
      <c r="E365" s="212">
        <v>6</v>
      </c>
      <c r="F365" s="212">
        <v>26911</v>
      </c>
      <c r="G365" s="212">
        <v>161466</v>
      </c>
      <c r="H365" s="212">
        <v>925</v>
      </c>
      <c r="I365" s="212">
        <v>5550</v>
      </c>
      <c r="J365" s="212">
        <v>155916</v>
      </c>
    </row>
    <row r="366" spans="1:10" ht="14.1" customHeight="1" x14ac:dyDescent="0.15">
      <c r="A366" s="221"/>
      <c r="B366" s="221"/>
      <c r="C366" s="221"/>
      <c r="D366" s="210" t="s">
        <v>85</v>
      </c>
      <c r="E366" s="212">
        <v>1</v>
      </c>
      <c r="F366" s="212">
        <v>26911</v>
      </c>
      <c r="G366" s="212">
        <v>26911</v>
      </c>
      <c r="H366" s="212">
        <v>925</v>
      </c>
      <c r="I366" s="212">
        <v>925</v>
      </c>
      <c r="J366" s="212">
        <v>25986</v>
      </c>
    </row>
    <row r="367" spans="1:10" ht="14.1" customHeight="1" x14ac:dyDescent="0.15">
      <c r="A367" s="221"/>
      <c r="B367" s="221"/>
      <c r="C367" s="221"/>
      <c r="D367" s="210" t="s">
        <v>141</v>
      </c>
      <c r="E367" s="212">
        <v>7</v>
      </c>
      <c r="F367" s="212">
        <v>13127</v>
      </c>
      <c r="G367" s="212">
        <v>91889</v>
      </c>
      <c r="H367" s="212">
        <v>925</v>
      </c>
      <c r="I367" s="212">
        <v>6475</v>
      </c>
      <c r="J367" s="212">
        <v>85414</v>
      </c>
    </row>
    <row r="368" spans="1:10" ht="14.1" customHeight="1" x14ac:dyDescent="0.15">
      <c r="A368" s="221"/>
      <c r="B368" s="221"/>
      <c r="C368" s="221"/>
      <c r="D368" s="210" t="s">
        <v>78</v>
      </c>
      <c r="E368" s="212">
        <v>1</v>
      </c>
      <c r="F368" s="212">
        <v>13127</v>
      </c>
      <c r="G368" s="212">
        <v>13127</v>
      </c>
      <c r="H368" s="212">
        <v>925</v>
      </c>
      <c r="I368" s="212">
        <v>925</v>
      </c>
      <c r="J368" s="212">
        <v>12202</v>
      </c>
    </row>
    <row r="369" spans="1:10" ht="14.1" customHeight="1" x14ac:dyDescent="0.15">
      <c r="A369" s="221"/>
      <c r="B369" s="221"/>
      <c r="C369" s="221"/>
      <c r="D369" s="210" t="s">
        <v>146</v>
      </c>
      <c r="E369" s="212">
        <v>27</v>
      </c>
      <c r="F369" s="212">
        <v>10040</v>
      </c>
      <c r="G369" s="212">
        <v>271080</v>
      </c>
      <c r="H369" s="212">
        <v>925</v>
      </c>
      <c r="I369" s="212">
        <v>24975</v>
      </c>
      <c r="J369" s="212">
        <v>246105</v>
      </c>
    </row>
    <row r="370" spans="1:10" ht="14.1" customHeight="1" x14ac:dyDescent="0.15">
      <c r="A370" s="221"/>
      <c r="B370" s="221"/>
      <c r="C370" s="221"/>
      <c r="D370" s="210" t="s">
        <v>83</v>
      </c>
      <c r="E370" s="212">
        <v>1</v>
      </c>
      <c r="F370" s="212">
        <v>10040</v>
      </c>
      <c r="G370" s="212">
        <v>10040</v>
      </c>
      <c r="H370" s="212">
        <v>925</v>
      </c>
      <c r="I370" s="212">
        <v>925</v>
      </c>
      <c r="J370" s="212">
        <v>9115</v>
      </c>
    </row>
    <row r="371" spans="1:10" ht="14.1" customHeight="1" x14ac:dyDescent="0.15">
      <c r="A371" s="221"/>
      <c r="B371" s="221"/>
      <c r="C371" s="221"/>
      <c r="D371" s="210" t="s">
        <v>136</v>
      </c>
      <c r="E371" s="212">
        <v>40</v>
      </c>
      <c r="F371" s="212">
        <v>6828</v>
      </c>
      <c r="G371" s="212">
        <v>273120</v>
      </c>
      <c r="H371" s="212">
        <v>925</v>
      </c>
      <c r="I371" s="212">
        <v>37000</v>
      </c>
      <c r="J371" s="212">
        <v>236120</v>
      </c>
    </row>
    <row r="372" spans="1:10" ht="14.1" customHeight="1" x14ac:dyDescent="0.15">
      <c r="A372" s="221"/>
      <c r="B372" s="221"/>
      <c r="C372" s="221"/>
      <c r="D372" s="210" t="s">
        <v>77</v>
      </c>
      <c r="E372" s="212">
        <v>8</v>
      </c>
      <c r="F372" s="212">
        <v>6828</v>
      </c>
      <c r="G372" s="212">
        <v>54624</v>
      </c>
      <c r="H372" s="212">
        <v>925</v>
      </c>
      <c r="I372" s="212">
        <v>7400</v>
      </c>
      <c r="J372" s="212">
        <v>47224</v>
      </c>
    </row>
    <row r="373" spans="1:10" ht="14.1" customHeight="1" x14ac:dyDescent="0.15">
      <c r="A373" s="221"/>
      <c r="B373" s="221"/>
      <c r="C373" s="221"/>
      <c r="D373" s="210" t="s">
        <v>86</v>
      </c>
      <c r="E373" s="212">
        <v>1</v>
      </c>
      <c r="F373" s="212">
        <v>4251</v>
      </c>
      <c r="G373" s="212">
        <v>4251</v>
      </c>
      <c r="H373" s="212">
        <v>925</v>
      </c>
      <c r="I373" s="212">
        <v>925</v>
      </c>
      <c r="J373" s="212">
        <v>3326</v>
      </c>
    </row>
    <row r="374" spans="1:10" ht="29.1" customHeight="1" x14ac:dyDescent="0.15">
      <c r="A374" s="221"/>
      <c r="B374" s="221"/>
      <c r="C374" s="222" t="s">
        <v>159</v>
      </c>
      <c r="D374" s="210" t="s">
        <v>101</v>
      </c>
      <c r="E374" s="212">
        <v>1</v>
      </c>
      <c r="F374" s="212">
        <v>46407</v>
      </c>
      <c r="G374" s="212">
        <v>46407</v>
      </c>
      <c r="H374" s="212">
        <v>2346</v>
      </c>
      <c r="I374" s="212">
        <v>2346</v>
      </c>
      <c r="J374" s="212">
        <v>44061</v>
      </c>
    </row>
    <row r="375" spans="1:10" ht="14.1" customHeight="1" x14ac:dyDescent="0.15">
      <c r="A375" s="221"/>
      <c r="B375" s="221"/>
      <c r="C375" s="221"/>
      <c r="D375" s="210" t="s">
        <v>79</v>
      </c>
      <c r="E375" s="212">
        <v>7</v>
      </c>
      <c r="F375" s="212">
        <v>28332</v>
      </c>
      <c r="G375" s="212">
        <v>198324</v>
      </c>
      <c r="H375" s="212">
        <v>2346</v>
      </c>
      <c r="I375" s="212">
        <v>16422</v>
      </c>
      <c r="J375" s="212">
        <v>181902</v>
      </c>
    </row>
    <row r="376" spans="1:10" ht="14.1" customHeight="1" x14ac:dyDescent="0.15">
      <c r="A376" s="221"/>
      <c r="B376" s="221"/>
      <c r="C376" s="221"/>
      <c r="D376" s="210" t="s">
        <v>73</v>
      </c>
      <c r="E376" s="212">
        <v>2</v>
      </c>
      <c r="F376" s="212">
        <v>14548</v>
      </c>
      <c r="G376" s="212">
        <v>29096</v>
      </c>
      <c r="H376" s="212">
        <v>2346</v>
      </c>
      <c r="I376" s="212">
        <v>4692</v>
      </c>
      <c r="J376" s="212">
        <v>24404</v>
      </c>
    </row>
    <row r="377" spans="1:10" ht="14.1" customHeight="1" x14ac:dyDescent="0.15">
      <c r="A377" s="221"/>
      <c r="B377" s="221"/>
      <c r="C377" s="221"/>
      <c r="D377" s="210" t="s">
        <v>74</v>
      </c>
      <c r="E377" s="212">
        <v>11</v>
      </c>
      <c r="F377" s="212">
        <v>11461</v>
      </c>
      <c r="G377" s="212">
        <v>126071</v>
      </c>
      <c r="H377" s="212">
        <v>2346</v>
      </c>
      <c r="I377" s="212">
        <v>25806</v>
      </c>
      <c r="J377" s="212">
        <v>100265</v>
      </c>
    </row>
    <row r="378" spans="1:10" ht="14.1" customHeight="1" x14ac:dyDescent="0.15">
      <c r="A378" s="221"/>
      <c r="B378" s="221"/>
      <c r="C378" s="221"/>
      <c r="D378" s="210" t="s">
        <v>71</v>
      </c>
      <c r="E378" s="212">
        <v>27</v>
      </c>
      <c r="F378" s="212">
        <v>8249</v>
      </c>
      <c r="G378" s="212">
        <v>222723</v>
      </c>
      <c r="H378" s="212">
        <v>2346</v>
      </c>
      <c r="I378" s="212">
        <v>63342</v>
      </c>
      <c r="J378" s="212">
        <v>159381</v>
      </c>
    </row>
    <row r="379" spans="1:10" ht="29.1" customHeight="1" x14ac:dyDescent="0.15">
      <c r="A379" s="221"/>
      <c r="B379" s="221"/>
      <c r="C379" s="209" t="s">
        <v>160</v>
      </c>
      <c r="D379" s="210" t="s">
        <v>71</v>
      </c>
      <c r="E379" s="212">
        <v>10</v>
      </c>
      <c r="F379" s="212">
        <v>7796</v>
      </c>
      <c r="G379" s="212">
        <v>77960</v>
      </c>
      <c r="H379" s="212">
        <v>2292</v>
      </c>
      <c r="I379" s="212">
        <v>22920</v>
      </c>
      <c r="J379" s="212">
        <v>55040</v>
      </c>
    </row>
    <row r="380" spans="1:10" ht="29.1" customHeight="1" x14ac:dyDescent="0.15">
      <c r="A380" s="221"/>
      <c r="B380" s="221"/>
      <c r="C380" s="222" t="s">
        <v>161</v>
      </c>
      <c r="D380" s="210" t="s">
        <v>101</v>
      </c>
      <c r="E380" s="212">
        <v>683</v>
      </c>
      <c r="F380" s="212">
        <v>45688</v>
      </c>
      <c r="G380" s="212">
        <v>31204904</v>
      </c>
      <c r="H380" s="212">
        <v>1627</v>
      </c>
      <c r="I380" s="212">
        <v>1111241</v>
      </c>
      <c r="J380" s="212">
        <v>30093663</v>
      </c>
    </row>
    <row r="381" spans="1:10" ht="14.1" customHeight="1" x14ac:dyDescent="0.15">
      <c r="A381" s="221"/>
      <c r="B381" s="221"/>
      <c r="C381" s="221"/>
      <c r="D381" s="210" t="s">
        <v>79</v>
      </c>
      <c r="E381" s="212">
        <v>1186</v>
      </c>
      <c r="F381" s="212">
        <v>27613</v>
      </c>
      <c r="G381" s="212">
        <v>32749018</v>
      </c>
      <c r="H381" s="212">
        <v>1627</v>
      </c>
      <c r="I381" s="212">
        <v>1929622</v>
      </c>
      <c r="J381" s="212">
        <v>30819396</v>
      </c>
    </row>
    <row r="382" spans="1:10" ht="14.1" customHeight="1" x14ac:dyDescent="0.15">
      <c r="A382" s="221"/>
      <c r="B382" s="221"/>
      <c r="C382" s="221"/>
      <c r="D382" s="210" t="s">
        <v>73</v>
      </c>
      <c r="E382" s="212">
        <v>1631</v>
      </c>
      <c r="F382" s="212">
        <v>13829</v>
      </c>
      <c r="G382" s="212">
        <v>22555099</v>
      </c>
      <c r="H382" s="212">
        <v>1627</v>
      </c>
      <c r="I382" s="212">
        <v>2653637</v>
      </c>
      <c r="J382" s="212">
        <v>19901462</v>
      </c>
    </row>
    <row r="383" spans="1:10" ht="14.1" customHeight="1" x14ac:dyDescent="0.15">
      <c r="A383" s="221"/>
      <c r="B383" s="221"/>
      <c r="C383" s="221"/>
      <c r="D383" s="210" t="s">
        <v>74</v>
      </c>
      <c r="E383" s="212">
        <v>3556</v>
      </c>
      <c r="F383" s="212">
        <v>10742</v>
      </c>
      <c r="G383" s="212">
        <v>38198552</v>
      </c>
      <c r="H383" s="212">
        <v>1627</v>
      </c>
      <c r="I383" s="212">
        <v>5785612</v>
      </c>
      <c r="J383" s="212">
        <v>32412940</v>
      </c>
    </row>
    <row r="384" spans="1:10" ht="14.1" customHeight="1" x14ac:dyDescent="0.15">
      <c r="A384" s="221"/>
      <c r="B384" s="221"/>
      <c r="C384" s="221"/>
      <c r="D384" s="210" t="s">
        <v>71</v>
      </c>
      <c r="E384" s="212">
        <v>3405</v>
      </c>
      <c r="F384" s="212">
        <v>7530</v>
      </c>
      <c r="G384" s="212">
        <v>25639650</v>
      </c>
      <c r="H384" s="212">
        <v>1627</v>
      </c>
      <c r="I384" s="212">
        <v>5539935</v>
      </c>
      <c r="J384" s="212">
        <v>20099715</v>
      </c>
    </row>
    <row r="385" spans="1:10" ht="14.1" customHeight="1" x14ac:dyDescent="0.15">
      <c r="A385" s="221"/>
      <c r="B385" s="221"/>
      <c r="C385" s="221"/>
      <c r="D385" s="210" t="s">
        <v>72</v>
      </c>
      <c r="E385" s="212">
        <v>99</v>
      </c>
      <c r="F385" s="212">
        <v>4953</v>
      </c>
      <c r="G385" s="212">
        <v>490347</v>
      </c>
      <c r="H385" s="212">
        <v>1627</v>
      </c>
      <c r="I385" s="212">
        <v>161073</v>
      </c>
      <c r="J385" s="212">
        <v>329274</v>
      </c>
    </row>
    <row r="386" spans="1:10" ht="14.1" customHeight="1" x14ac:dyDescent="0.15">
      <c r="A386" s="221"/>
      <c r="B386" s="221"/>
      <c r="C386" s="221"/>
      <c r="D386" s="210" t="s">
        <v>75</v>
      </c>
      <c r="E386" s="212">
        <v>3</v>
      </c>
      <c r="F386" s="212">
        <v>1907</v>
      </c>
      <c r="G386" s="212">
        <v>5721</v>
      </c>
      <c r="H386" s="212">
        <v>1627</v>
      </c>
      <c r="I386" s="212">
        <v>4881</v>
      </c>
      <c r="J386" s="212">
        <v>840</v>
      </c>
    </row>
    <row r="387" spans="1:10" ht="14.1" customHeight="1" x14ac:dyDescent="0.15">
      <c r="A387" s="221" t="s">
        <v>99</v>
      </c>
      <c r="B387" s="221" t="s">
        <v>53</v>
      </c>
      <c r="C387" s="221"/>
      <c r="D387" s="221"/>
      <c r="E387" s="212">
        <v>478</v>
      </c>
      <c r="F387" s="212">
        <v>98040</v>
      </c>
      <c r="G387" s="212">
        <v>6454823</v>
      </c>
      <c r="H387" s="212"/>
      <c r="I387" s="212">
        <v>355167</v>
      </c>
      <c r="J387" s="212">
        <v>6099656</v>
      </c>
    </row>
    <row r="388" spans="1:10" ht="14.1" customHeight="1" x14ac:dyDescent="0.15">
      <c r="A388" s="221"/>
      <c r="B388" s="210" t="s">
        <v>63</v>
      </c>
      <c r="C388" s="210" t="s">
        <v>64</v>
      </c>
      <c r="D388" s="210" t="s">
        <v>65</v>
      </c>
      <c r="E388" s="218">
        <v>22</v>
      </c>
      <c r="F388" s="218">
        <v>10841</v>
      </c>
      <c r="G388" s="218">
        <v>238502</v>
      </c>
      <c r="H388" s="218">
        <v>1627</v>
      </c>
      <c r="I388" s="218">
        <v>35794</v>
      </c>
      <c r="J388" s="218">
        <v>202708</v>
      </c>
    </row>
    <row r="389" spans="1:10" ht="29.1" customHeight="1" x14ac:dyDescent="0.15">
      <c r="A389" s="221"/>
      <c r="B389" s="213" t="s">
        <v>66</v>
      </c>
      <c r="C389" s="209" t="s">
        <v>161</v>
      </c>
      <c r="D389" s="210" t="s">
        <v>133</v>
      </c>
      <c r="E389" s="219"/>
      <c r="F389" s="219"/>
      <c r="G389" s="219"/>
      <c r="H389" s="219"/>
      <c r="I389" s="219"/>
      <c r="J389" s="219"/>
    </row>
    <row r="390" spans="1:10" ht="29.1" customHeight="1" x14ac:dyDescent="0.15">
      <c r="A390" s="221"/>
      <c r="B390" s="222" t="s">
        <v>167</v>
      </c>
      <c r="C390" s="223" t="s">
        <v>67</v>
      </c>
      <c r="D390" s="210" t="s">
        <v>78</v>
      </c>
      <c r="E390" s="212">
        <v>1</v>
      </c>
      <c r="F390" s="212">
        <v>13127</v>
      </c>
      <c r="G390" s="212">
        <v>13127</v>
      </c>
      <c r="H390" s="212">
        <v>0</v>
      </c>
      <c r="I390" s="212">
        <v>0</v>
      </c>
      <c r="J390" s="212">
        <v>13127</v>
      </c>
    </row>
    <row r="391" spans="1:10" ht="14.1" customHeight="1" x14ac:dyDescent="0.15">
      <c r="A391" s="221"/>
      <c r="B391" s="221"/>
      <c r="C391" s="221"/>
      <c r="D391" s="210" t="s">
        <v>136</v>
      </c>
      <c r="E391" s="212">
        <v>1</v>
      </c>
      <c r="F391" s="212">
        <v>6828</v>
      </c>
      <c r="G391" s="212">
        <v>6828</v>
      </c>
      <c r="H391" s="212">
        <v>0</v>
      </c>
      <c r="I391" s="212">
        <v>0</v>
      </c>
      <c r="J391" s="212">
        <v>6828</v>
      </c>
    </row>
    <row r="392" spans="1:10" ht="29.1" customHeight="1" x14ac:dyDescent="0.15">
      <c r="A392" s="221"/>
      <c r="B392" s="221"/>
      <c r="C392" s="209" t="s">
        <v>160</v>
      </c>
      <c r="D392" s="210" t="s">
        <v>71</v>
      </c>
      <c r="E392" s="212">
        <v>1</v>
      </c>
      <c r="F392" s="212">
        <v>7530</v>
      </c>
      <c r="G392" s="212">
        <v>7530</v>
      </c>
      <c r="H392" s="212">
        <v>1367</v>
      </c>
      <c r="I392" s="212">
        <v>1367</v>
      </c>
      <c r="J392" s="212">
        <v>6163</v>
      </c>
    </row>
    <row r="393" spans="1:10" ht="29.1" customHeight="1" x14ac:dyDescent="0.15">
      <c r="A393" s="221"/>
      <c r="B393" s="221"/>
      <c r="C393" s="222" t="s">
        <v>161</v>
      </c>
      <c r="D393" s="210" t="s">
        <v>79</v>
      </c>
      <c r="E393" s="212">
        <v>10</v>
      </c>
      <c r="F393" s="212">
        <v>27613</v>
      </c>
      <c r="G393" s="212">
        <v>276130</v>
      </c>
      <c r="H393" s="212">
        <v>702</v>
      </c>
      <c r="I393" s="212">
        <v>7020</v>
      </c>
      <c r="J393" s="212">
        <v>269110</v>
      </c>
    </row>
    <row r="394" spans="1:10" ht="14.1" customHeight="1" x14ac:dyDescent="0.15">
      <c r="A394" s="221"/>
      <c r="B394" s="221"/>
      <c r="C394" s="221"/>
      <c r="D394" s="210" t="s">
        <v>73</v>
      </c>
      <c r="E394" s="212">
        <v>404</v>
      </c>
      <c r="F394" s="212">
        <v>13829</v>
      </c>
      <c r="G394" s="212">
        <v>5586916</v>
      </c>
      <c r="H394" s="212">
        <v>702</v>
      </c>
      <c r="I394" s="212">
        <v>283608</v>
      </c>
      <c r="J394" s="212">
        <v>5303308</v>
      </c>
    </row>
    <row r="395" spans="1:10" ht="14.1" customHeight="1" x14ac:dyDescent="0.15">
      <c r="A395" s="221"/>
      <c r="B395" s="221"/>
      <c r="C395" s="221"/>
      <c r="D395" s="210" t="s">
        <v>74</v>
      </c>
      <c r="E395" s="212">
        <v>10</v>
      </c>
      <c r="F395" s="212">
        <v>10742</v>
      </c>
      <c r="G395" s="212">
        <v>107420</v>
      </c>
      <c r="H395" s="212">
        <v>702</v>
      </c>
      <c r="I395" s="212">
        <v>7020</v>
      </c>
      <c r="J395" s="212">
        <v>100400</v>
      </c>
    </row>
    <row r="396" spans="1:10" ht="14.1" customHeight="1" x14ac:dyDescent="0.15">
      <c r="A396" s="221"/>
      <c r="B396" s="221"/>
      <c r="C396" s="221"/>
      <c r="D396" s="210" t="s">
        <v>71</v>
      </c>
      <c r="E396" s="212">
        <v>29</v>
      </c>
      <c r="F396" s="212">
        <v>7530</v>
      </c>
      <c r="G396" s="212">
        <v>218370</v>
      </c>
      <c r="H396" s="212">
        <v>702</v>
      </c>
      <c r="I396" s="212">
        <v>20358</v>
      </c>
      <c r="J396" s="212">
        <v>198012</v>
      </c>
    </row>
    <row r="397" spans="1:10" ht="14.1" customHeight="1" x14ac:dyDescent="0.15">
      <c r="A397" s="221" t="s">
        <v>3</v>
      </c>
      <c r="B397" s="221" t="s">
        <v>53</v>
      </c>
      <c r="C397" s="221"/>
      <c r="D397" s="221"/>
      <c r="E397" s="212">
        <v>1999</v>
      </c>
      <c r="F397" s="212">
        <v>373782</v>
      </c>
      <c r="G397" s="212">
        <v>26433842</v>
      </c>
      <c r="H397" s="212"/>
      <c r="I397" s="212">
        <v>2660873</v>
      </c>
      <c r="J397" s="212">
        <v>23772969</v>
      </c>
    </row>
    <row r="398" spans="1:10" ht="14.1" customHeight="1" x14ac:dyDescent="0.15">
      <c r="A398" s="221"/>
      <c r="B398" s="210" t="s">
        <v>63</v>
      </c>
      <c r="C398" s="210" t="s">
        <v>64</v>
      </c>
      <c r="D398" s="210" t="s">
        <v>65</v>
      </c>
      <c r="E398" s="218">
        <v>4</v>
      </c>
      <c r="F398" s="218">
        <v>10139</v>
      </c>
      <c r="G398" s="218">
        <v>40556</v>
      </c>
      <c r="H398" s="218">
        <v>0</v>
      </c>
      <c r="I398" s="218">
        <v>0</v>
      </c>
      <c r="J398" s="218">
        <v>40556</v>
      </c>
    </row>
    <row r="399" spans="1:10" ht="14.1" customHeight="1" x14ac:dyDescent="0.15">
      <c r="A399" s="221"/>
      <c r="B399" s="220" t="s">
        <v>66</v>
      </c>
      <c r="C399" s="223" t="s">
        <v>67</v>
      </c>
      <c r="D399" s="210" t="s">
        <v>134</v>
      </c>
      <c r="E399" s="219"/>
      <c r="F399" s="219"/>
      <c r="G399" s="219"/>
      <c r="H399" s="219"/>
      <c r="I399" s="219"/>
      <c r="J399" s="219"/>
    </row>
    <row r="400" spans="1:10" ht="14.1" customHeight="1" x14ac:dyDescent="0.15">
      <c r="A400" s="221"/>
      <c r="B400" s="221"/>
      <c r="C400" s="221"/>
      <c r="D400" s="210" t="s">
        <v>132</v>
      </c>
      <c r="E400" s="212">
        <v>1</v>
      </c>
      <c r="F400" s="212">
        <v>10139</v>
      </c>
      <c r="G400" s="212">
        <v>10139</v>
      </c>
      <c r="H400" s="212">
        <v>0</v>
      </c>
      <c r="I400" s="212">
        <v>0</v>
      </c>
      <c r="J400" s="212">
        <v>10139</v>
      </c>
    </row>
    <row r="401" spans="1:10" ht="29.1" customHeight="1" x14ac:dyDescent="0.15">
      <c r="A401" s="221"/>
      <c r="B401" s="221"/>
      <c r="C401" s="209" t="s">
        <v>161</v>
      </c>
      <c r="D401" s="210" t="s">
        <v>133</v>
      </c>
      <c r="E401" s="212">
        <v>190</v>
      </c>
      <c r="F401" s="212">
        <v>10841</v>
      </c>
      <c r="G401" s="212">
        <v>2059790</v>
      </c>
      <c r="H401" s="212">
        <v>1627</v>
      </c>
      <c r="I401" s="212">
        <v>309130</v>
      </c>
      <c r="J401" s="212">
        <v>1750660</v>
      </c>
    </row>
    <row r="402" spans="1:10" ht="29.1" customHeight="1" x14ac:dyDescent="0.15">
      <c r="A402" s="221"/>
      <c r="B402" s="222" t="s">
        <v>167</v>
      </c>
      <c r="C402" s="223" t="s">
        <v>67</v>
      </c>
      <c r="D402" s="210" t="s">
        <v>145</v>
      </c>
      <c r="E402" s="212">
        <v>1</v>
      </c>
      <c r="F402" s="212">
        <v>26911</v>
      </c>
      <c r="G402" s="212">
        <v>26911</v>
      </c>
      <c r="H402" s="212">
        <v>0</v>
      </c>
      <c r="I402" s="212">
        <v>0</v>
      </c>
      <c r="J402" s="212">
        <v>26911</v>
      </c>
    </row>
    <row r="403" spans="1:10" ht="14.1" customHeight="1" x14ac:dyDescent="0.15">
      <c r="A403" s="221"/>
      <c r="B403" s="221"/>
      <c r="C403" s="221"/>
      <c r="D403" s="210" t="s">
        <v>136</v>
      </c>
      <c r="E403" s="212">
        <v>1</v>
      </c>
      <c r="F403" s="212">
        <v>6828</v>
      </c>
      <c r="G403" s="212">
        <v>6828</v>
      </c>
      <c r="H403" s="212">
        <v>0</v>
      </c>
      <c r="I403" s="212">
        <v>0</v>
      </c>
      <c r="J403" s="212">
        <v>6828</v>
      </c>
    </row>
    <row r="404" spans="1:10" ht="14.1" customHeight="1" x14ac:dyDescent="0.15">
      <c r="A404" s="221"/>
      <c r="B404" s="221"/>
      <c r="C404" s="221"/>
      <c r="D404" s="210" t="s">
        <v>143</v>
      </c>
      <c r="E404" s="212">
        <v>1</v>
      </c>
      <c r="F404" s="212">
        <v>5103</v>
      </c>
      <c r="G404" s="212">
        <v>5103</v>
      </c>
      <c r="H404" s="212">
        <v>0</v>
      </c>
      <c r="I404" s="212">
        <v>0</v>
      </c>
      <c r="J404" s="212">
        <v>5103</v>
      </c>
    </row>
    <row r="405" spans="1:10" ht="29.1" customHeight="1" x14ac:dyDescent="0.15">
      <c r="A405" s="221"/>
      <c r="B405" s="221"/>
      <c r="C405" s="222" t="s">
        <v>159</v>
      </c>
      <c r="D405" s="210" t="s">
        <v>79</v>
      </c>
      <c r="E405" s="212">
        <v>1</v>
      </c>
      <c r="F405" s="212">
        <v>28332</v>
      </c>
      <c r="G405" s="212">
        <v>28332</v>
      </c>
      <c r="H405" s="212">
        <v>1421</v>
      </c>
      <c r="I405" s="212">
        <v>1421</v>
      </c>
      <c r="J405" s="212">
        <v>26911</v>
      </c>
    </row>
    <row r="406" spans="1:10" ht="14.1" customHeight="1" x14ac:dyDescent="0.15">
      <c r="A406" s="221"/>
      <c r="B406" s="221"/>
      <c r="C406" s="221"/>
      <c r="D406" s="210" t="s">
        <v>73</v>
      </c>
      <c r="E406" s="212">
        <v>2</v>
      </c>
      <c r="F406" s="212">
        <v>14548</v>
      </c>
      <c r="G406" s="212">
        <v>29096</v>
      </c>
      <c r="H406" s="212">
        <v>1421</v>
      </c>
      <c r="I406" s="212">
        <v>2842</v>
      </c>
      <c r="J406" s="212">
        <v>26254</v>
      </c>
    </row>
    <row r="407" spans="1:10" ht="14.1" customHeight="1" x14ac:dyDescent="0.15">
      <c r="A407" s="221"/>
      <c r="B407" s="221"/>
      <c r="C407" s="221"/>
      <c r="D407" s="210" t="s">
        <v>139</v>
      </c>
      <c r="E407" s="212">
        <v>1</v>
      </c>
      <c r="F407" s="212">
        <v>5518</v>
      </c>
      <c r="G407" s="212">
        <v>5518</v>
      </c>
      <c r="H407" s="212">
        <v>1421</v>
      </c>
      <c r="I407" s="212">
        <v>1421</v>
      </c>
      <c r="J407" s="212">
        <v>4097</v>
      </c>
    </row>
    <row r="408" spans="1:10" ht="29.1" customHeight="1" x14ac:dyDescent="0.15">
      <c r="A408" s="221"/>
      <c r="B408" s="221"/>
      <c r="C408" s="222" t="s">
        <v>161</v>
      </c>
      <c r="D408" s="210" t="s">
        <v>79</v>
      </c>
      <c r="E408" s="212">
        <v>171</v>
      </c>
      <c r="F408" s="212">
        <v>27613</v>
      </c>
      <c r="G408" s="212">
        <v>4721823</v>
      </c>
      <c r="H408" s="212">
        <v>702</v>
      </c>
      <c r="I408" s="212">
        <v>120042</v>
      </c>
      <c r="J408" s="212">
        <v>4601781</v>
      </c>
    </row>
    <row r="409" spans="1:10" ht="14.1" customHeight="1" x14ac:dyDescent="0.15">
      <c r="A409" s="221"/>
      <c r="B409" s="221"/>
      <c r="C409" s="221"/>
      <c r="D409" s="210" t="s">
        <v>73</v>
      </c>
      <c r="E409" s="212">
        <v>353</v>
      </c>
      <c r="F409" s="212">
        <v>13829</v>
      </c>
      <c r="G409" s="212">
        <v>4881637</v>
      </c>
      <c r="H409" s="212">
        <v>702</v>
      </c>
      <c r="I409" s="212">
        <v>247806</v>
      </c>
      <c r="J409" s="212">
        <v>4633831</v>
      </c>
    </row>
    <row r="410" spans="1:10" ht="14.1" customHeight="1" x14ac:dyDescent="0.15">
      <c r="A410" s="221"/>
      <c r="B410" s="221"/>
      <c r="C410" s="221"/>
      <c r="D410" s="210" t="s">
        <v>74</v>
      </c>
      <c r="E410" s="212">
        <v>14</v>
      </c>
      <c r="F410" s="212">
        <v>10742</v>
      </c>
      <c r="G410" s="212">
        <v>150388</v>
      </c>
      <c r="H410" s="212">
        <v>702</v>
      </c>
      <c r="I410" s="212">
        <v>9828</v>
      </c>
      <c r="J410" s="212">
        <v>140560</v>
      </c>
    </row>
    <row r="411" spans="1:10" ht="14.1" customHeight="1" x14ac:dyDescent="0.15">
      <c r="A411" s="221"/>
      <c r="B411" s="221"/>
      <c r="C411" s="221"/>
      <c r="D411" s="210" t="s">
        <v>71</v>
      </c>
      <c r="E411" s="212">
        <v>47</v>
      </c>
      <c r="F411" s="212">
        <v>7530</v>
      </c>
      <c r="G411" s="212">
        <v>353910</v>
      </c>
      <c r="H411" s="212">
        <v>702</v>
      </c>
      <c r="I411" s="212">
        <v>32994</v>
      </c>
      <c r="J411" s="212">
        <v>320916</v>
      </c>
    </row>
    <row r="412" spans="1:10" ht="14.1" customHeight="1" x14ac:dyDescent="0.15">
      <c r="A412" s="221"/>
      <c r="B412" s="221"/>
      <c r="C412" s="221"/>
      <c r="D412" s="210" t="s">
        <v>139</v>
      </c>
      <c r="E412" s="212">
        <v>28</v>
      </c>
      <c r="F412" s="212">
        <v>4799</v>
      </c>
      <c r="G412" s="212">
        <v>134372</v>
      </c>
      <c r="H412" s="212">
        <v>702</v>
      </c>
      <c r="I412" s="212">
        <v>19656</v>
      </c>
      <c r="J412" s="212">
        <v>114716</v>
      </c>
    </row>
    <row r="413" spans="1:10" ht="14.1" customHeight="1" x14ac:dyDescent="0.15">
      <c r="A413" s="221"/>
      <c r="B413" s="221"/>
      <c r="C413" s="221"/>
      <c r="D413" s="210" t="s">
        <v>140</v>
      </c>
      <c r="E413" s="212">
        <v>4</v>
      </c>
      <c r="F413" s="212">
        <v>5805</v>
      </c>
      <c r="G413" s="212">
        <v>23220</v>
      </c>
      <c r="H413" s="212">
        <v>702</v>
      </c>
      <c r="I413" s="212">
        <v>2808</v>
      </c>
      <c r="J413" s="212">
        <v>20412</v>
      </c>
    </row>
    <row r="414" spans="1:10" ht="14.1" customHeight="1" x14ac:dyDescent="0.15">
      <c r="A414" s="221"/>
      <c r="B414" s="220" t="s">
        <v>168</v>
      </c>
      <c r="C414" s="223" t="s">
        <v>67</v>
      </c>
      <c r="D414" s="210" t="s">
        <v>145</v>
      </c>
      <c r="E414" s="212">
        <v>4</v>
      </c>
      <c r="F414" s="212">
        <v>26911</v>
      </c>
      <c r="G414" s="212">
        <v>107644</v>
      </c>
      <c r="H414" s="212">
        <v>925</v>
      </c>
      <c r="I414" s="212">
        <v>3700</v>
      </c>
      <c r="J414" s="212">
        <v>103944</v>
      </c>
    </row>
    <row r="415" spans="1:10" ht="14.1" customHeight="1" x14ac:dyDescent="0.15">
      <c r="A415" s="221"/>
      <c r="B415" s="221"/>
      <c r="C415" s="221"/>
      <c r="D415" s="210" t="s">
        <v>141</v>
      </c>
      <c r="E415" s="212">
        <v>1</v>
      </c>
      <c r="F415" s="212">
        <v>13127</v>
      </c>
      <c r="G415" s="212">
        <v>13127</v>
      </c>
      <c r="H415" s="212">
        <v>925</v>
      </c>
      <c r="I415" s="212">
        <v>925</v>
      </c>
      <c r="J415" s="212">
        <v>12202</v>
      </c>
    </row>
    <row r="416" spans="1:10" ht="14.1" customHeight="1" x14ac:dyDescent="0.15">
      <c r="A416" s="221"/>
      <c r="B416" s="221"/>
      <c r="C416" s="221"/>
      <c r="D416" s="210" t="s">
        <v>146</v>
      </c>
      <c r="E416" s="212">
        <v>7</v>
      </c>
      <c r="F416" s="212">
        <v>10040</v>
      </c>
      <c r="G416" s="212">
        <v>70280</v>
      </c>
      <c r="H416" s="212">
        <v>925</v>
      </c>
      <c r="I416" s="212">
        <v>6475</v>
      </c>
      <c r="J416" s="212">
        <v>63805</v>
      </c>
    </row>
    <row r="417" spans="1:10" ht="14.1" customHeight="1" x14ac:dyDescent="0.15">
      <c r="A417" s="221"/>
      <c r="B417" s="221"/>
      <c r="C417" s="221"/>
      <c r="D417" s="210" t="s">
        <v>136</v>
      </c>
      <c r="E417" s="212">
        <v>3</v>
      </c>
      <c r="F417" s="212">
        <v>6828</v>
      </c>
      <c r="G417" s="212">
        <v>20484</v>
      </c>
      <c r="H417" s="212">
        <v>925</v>
      </c>
      <c r="I417" s="212">
        <v>2775</v>
      </c>
      <c r="J417" s="212">
        <v>17709</v>
      </c>
    </row>
    <row r="418" spans="1:10" ht="29.1" customHeight="1" x14ac:dyDescent="0.15">
      <c r="A418" s="221"/>
      <c r="B418" s="221"/>
      <c r="C418" s="222" t="s">
        <v>159</v>
      </c>
      <c r="D418" s="210" t="s">
        <v>73</v>
      </c>
      <c r="E418" s="212">
        <v>1</v>
      </c>
      <c r="F418" s="212">
        <v>14548</v>
      </c>
      <c r="G418" s="212">
        <v>14548</v>
      </c>
      <c r="H418" s="212">
        <v>2346</v>
      </c>
      <c r="I418" s="212">
        <v>2346</v>
      </c>
      <c r="J418" s="212">
        <v>12202</v>
      </c>
    </row>
    <row r="419" spans="1:10" ht="14.1" customHeight="1" x14ac:dyDescent="0.15">
      <c r="A419" s="221"/>
      <c r="B419" s="221"/>
      <c r="C419" s="221"/>
      <c r="D419" s="210" t="s">
        <v>71</v>
      </c>
      <c r="E419" s="212">
        <v>4</v>
      </c>
      <c r="F419" s="212">
        <v>8249</v>
      </c>
      <c r="G419" s="212">
        <v>32996</v>
      </c>
      <c r="H419" s="212">
        <v>2346</v>
      </c>
      <c r="I419" s="212">
        <v>9384</v>
      </c>
      <c r="J419" s="212">
        <v>23612</v>
      </c>
    </row>
    <row r="420" spans="1:10" ht="29.1" customHeight="1" x14ac:dyDescent="0.15">
      <c r="A420" s="221"/>
      <c r="B420" s="221"/>
      <c r="C420" s="222" t="s">
        <v>161</v>
      </c>
      <c r="D420" s="210" t="s">
        <v>101</v>
      </c>
      <c r="E420" s="212">
        <v>6</v>
      </c>
      <c r="F420" s="212">
        <v>45688</v>
      </c>
      <c r="G420" s="212">
        <v>274128</v>
      </c>
      <c r="H420" s="212">
        <v>1627</v>
      </c>
      <c r="I420" s="212">
        <v>9762</v>
      </c>
      <c r="J420" s="212">
        <v>264366</v>
      </c>
    </row>
    <row r="421" spans="1:10" ht="14.1" customHeight="1" x14ac:dyDescent="0.15">
      <c r="A421" s="221"/>
      <c r="B421" s="221"/>
      <c r="C421" s="221"/>
      <c r="D421" s="210" t="s">
        <v>79</v>
      </c>
      <c r="E421" s="212">
        <v>150</v>
      </c>
      <c r="F421" s="212">
        <v>27613</v>
      </c>
      <c r="G421" s="212">
        <v>4141950</v>
      </c>
      <c r="H421" s="212">
        <v>1627</v>
      </c>
      <c r="I421" s="212">
        <v>244050</v>
      </c>
      <c r="J421" s="212">
        <v>3897900</v>
      </c>
    </row>
    <row r="422" spans="1:10" ht="14.1" customHeight="1" x14ac:dyDescent="0.15">
      <c r="A422" s="221"/>
      <c r="B422" s="221"/>
      <c r="C422" s="221"/>
      <c r="D422" s="210" t="s">
        <v>73</v>
      </c>
      <c r="E422" s="212">
        <v>134</v>
      </c>
      <c r="F422" s="212">
        <v>13829</v>
      </c>
      <c r="G422" s="212">
        <v>1853086</v>
      </c>
      <c r="H422" s="212">
        <v>1627</v>
      </c>
      <c r="I422" s="212">
        <v>218018</v>
      </c>
      <c r="J422" s="212">
        <v>1635068</v>
      </c>
    </row>
    <row r="423" spans="1:10" ht="14.1" customHeight="1" x14ac:dyDescent="0.15">
      <c r="A423" s="221"/>
      <c r="B423" s="221"/>
      <c r="C423" s="221"/>
      <c r="D423" s="210" t="s">
        <v>74</v>
      </c>
      <c r="E423" s="212">
        <v>273</v>
      </c>
      <c r="F423" s="212">
        <v>10742</v>
      </c>
      <c r="G423" s="212">
        <v>2932566</v>
      </c>
      <c r="H423" s="212">
        <v>1627</v>
      </c>
      <c r="I423" s="212">
        <v>444171</v>
      </c>
      <c r="J423" s="212">
        <v>2488395</v>
      </c>
    </row>
    <row r="424" spans="1:10" ht="14.1" customHeight="1" x14ac:dyDescent="0.15">
      <c r="A424" s="221"/>
      <c r="B424" s="221"/>
      <c r="C424" s="221"/>
      <c r="D424" s="210" t="s">
        <v>71</v>
      </c>
      <c r="E424" s="212">
        <v>597</v>
      </c>
      <c r="F424" s="212">
        <v>7530</v>
      </c>
      <c r="G424" s="212">
        <v>4495410</v>
      </c>
      <c r="H424" s="212">
        <v>1627</v>
      </c>
      <c r="I424" s="212">
        <v>971319</v>
      </c>
      <c r="J424" s="212">
        <v>3524091</v>
      </c>
    </row>
    <row r="425" spans="1:10" ht="29.1" customHeight="1" x14ac:dyDescent="0.15">
      <c r="A425" s="222" t="s">
        <v>114</v>
      </c>
      <c r="B425" s="221" t="s">
        <v>53</v>
      </c>
      <c r="C425" s="221"/>
      <c r="D425" s="221"/>
      <c r="E425" s="212">
        <v>58283</v>
      </c>
      <c r="F425" s="212">
        <v>1432323</v>
      </c>
      <c r="G425" s="212">
        <v>647707960</v>
      </c>
      <c r="H425" s="212"/>
      <c r="I425" s="212">
        <v>76738794</v>
      </c>
      <c r="J425" s="212">
        <v>570969166</v>
      </c>
    </row>
    <row r="426" spans="1:10" ht="14.1" customHeight="1" x14ac:dyDescent="0.15">
      <c r="A426" s="221"/>
      <c r="B426" s="210" t="s">
        <v>63</v>
      </c>
      <c r="C426" s="210" t="s">
        <v>64</v>
      </c>
      <c r="D426" s="210" t="s">
        <v>65</v>
      </c>
      <c r="E426" s="218">
        <v>22</v>
      </c>
      <c r="F426" s="218">
        <v>10139</v>
      </c>
      <c r="G426" s="218">
        <v>223058</v>
      </c>
      <c r="H426" s="218">
        <v>0</v>
      </c>
      <c r="I426" s="218">
        <v>0</v>
      </c>
      <c r="J426" s="218">
        <v>223058</v>
      </c>
    </row>
    <row r="427" spans="1:10" ht="14.1" customHeight="1" x14ac:dyDescent="0.15">
      <c r="A427" s="221"/>
      <c r="B427" s="220" t="s">
        <v>66</v>
      </c>
      <c r="C427" s="223" t="s">
        <v>67</v>
      </c>
      <c r="D427" s="210" t="s">
        <v>134</v>
      </c>
      <c r="E427" s="219"/>
      <c r="F427" s="219"/>
      <c r="G427" s="219"/>
      <c r="H427" s="219"/>
      <c r="I427" s="219"/>
      <c r="J427" s="219"/>
    </row>
    <row r="428" spans="1:10" ht="14.1" customHeight="1" x14ac:dyDescent="0.15">
      <c r="A428" s="221"/>
      <c r="B428" s="221"/>
      <c r="C428" s="221"/>
      <c r="D428" s="210" t="s">
        <v>132</v>
      </c>
      <c r="E428" s="212">
        <v>166</v>
      </c>
      <c r="F428" s="212">
        <v>10139</v>
      </c>
      <c r="G428" s="212">
        <v>1683074</v>
      </c>
      <c r="H428" s="212">
        <v>0</v>
      </c>
      <c r="I428" s="212">
        <v>0</v>
      </c>
      <c r="J428" s="212">
        <v>1683074</v>
      </c>
    </row>
    <row r="429" spans="1:10" ht="29.1" customHeight="1" x14ac:dyDescent="0.15">
      <c r="A429" s="221"/>
      <c r="B429" s="221"/>
      <c r="C429" s="209" t="s">
        <v>159</v>
      </c>
      <c r="D429" s="210" t="s">
        <v>133</v>
      </c>
      <c r="E429" s="212">
        <v>10</v>
      </c>
      <c r="F429" s="212">
        <v>11560</v>
      </c>
      <c r="G429" s="212">
        <v>115600</v>
      </c>
      <c r="H429" s="212">
        <v>2346</v>
      </c>
      <c r="I429" s="212">
        <v>23460</v>
      </c>
      <c r="J429" s="212">
        <v>92140</v>
      </c>
    </row>
    <row r="430" spans="1:10" ht="29.1" customHeight="1" x14ac:dyDescent="0.15">
      <c r="A430" s="221"/>
      <c r="B430" s="221"/>
      <c r="C430" s="209" t="s">
        <v>160</v>
      </c>
      <c r="D430" s="210" t="s">
        <v>133</v>
      </c>
      <c r="E430" s="212">
        <v>36</v>
      </c>
      <c r="F430" s="212">
        <v>10989</v>
      </c>
      <c r="G430" s="212">
        <v>395596</v>
      </c>
      <c r="H430" s="212">
        <v>2292</v>
      </c>
      <c r="I430" s="212">
        <v>82512</v>
      </c>
      <c r="J430" s="212">
        <v>313084</v>
      </c>
    </row>
    <row r="431" spans="1:10" ht="29.1" customHeight="1" x14ac:dyDescent="0.15">
      <c r="A431" s="221"/>
      <c r="B431" s="221"/>
      <c r="C431" s="209" t="s">
        <v>161</v>
      </c>
      <c r="D431" s="210" t="s">
        <v>133</v>
      </c>
      <c r="E431" s="212">
        <v>4894</v>
      </c>
      <c r="F431" s="212">
        <v>10841</v>
      </c>
      <c r="G431" s="212">
        <v>53055854</v>
      </c>
      <c r="H431" s="212">
        <v>1627</v>
      </c>
      <c r="I431" s="212">
        <v>7962538</v>
      </c>
      <c r="J431" s="212">
        <v>45093316</v>
      </c>
    </row>
    <row r="432" spans="1:10" ht="14.1" customHeight="1" x14ac:dyDescent="0.15">
      <c r="A432" s="221"/>
      <c r="B432" s="220" t="s">
        <v>76</v>
      </c>
      <c r="C432" s="223" t="s">
        <v>67</v>
      </c>
      <c r="D432" s="210" t="s">
        <v>136</v>
      </c>
      <c r="E432" s="212">
        <v>5</v>
      </c>
      <c r="F432" s="212">
        <v>6828</v>
      </c>
      <c r="G432" s="212">
        <v>34140</v>
      </c>
      <c r="H432" s="212">
        <v>0</v>
      </c>
      <c r="I432" s="212">
        <v>0</v>
      </c>
      <c r="J432" s="212">
        <v>34140</v>
      </c>
    </row>
    <row r="433" spans="1:10" ht="14.1" customHeight="1" x14ac:dyDescent="0.15">
      <c r="A433" s="221"/>
      <c r="B433" s="221"/>
      <c r="C433" s="221"/>
      <c r="D433" s="210" t="s">
        <v>77</v>
      </c>
      <c r="E433" s="212">
        <v>1</v>
      </c>
      <c r="F433" s="212">
        <v>6828</v>
      </c>
      <c r="G433" s="212">
        <v>6828</v>
      </c>
      <c r="H433" s="212">
        <v>0</v>
      </c>
      <c r="I433" s="212">
        <v>0</v>
      </c>
      <c r="J433" s="212">
        <v>6828</v>
      </c>
    </row>
    <row r="434" spans="1:10" ht="14.1" customHeight="1" x14ac:dyDescent="0.15">
      <c r="A434" s="221"/>
      <c r="B434" s="221"/>
      <c r="C434" s="221"/>
      <c r="D434" s="210" t="s">
        <v>135</v>
      </c>
      <c r="E434" s="212">
        <v>2</v>
      </c>
      <c r="F434" s="212">
        <v>6949</v>
      </c>
      <c r="G434" s="212">
        <v>13898</v>
      </c>
      <c r="H434" s="212">
        <v>0</v>
      </c>
      <c r="I434" s="212">
        <v>0</v>
      </c>
      <c r="J434" s="212">
        <v>13898</v>
      </c>
    </row>
    <row r="435" spans="1:10" ht="29.1" customHeight="1" x14ac:dyDescent="0.15">
      <c r="A435" s="221"/>
      <c r="B435" s="221"/>
      <c r="C435" s="222" t="s">
        <v>159</v>
      </c>
      <c r="D435" s="210" t="s">
        <v>71</v>
      </c>
      <c r="E435" s="212">
        <v>2</v>
      </c>
      <c r="F435" s="212">
        <v>8249</v>
      </c>
      <c r="G435" s="212">
        <v>16498</v>
      </c>
      <c r="H435" s="212">
        <v>1421</v>
      </c>
      <c r="I435" s="212">
        <v>2842</v>
      </c>
      <c r="J435" s="212">
        <v>13656</v>
      </c>
    </row>
    <row r="436" spans="1:10" ht="14.1" customHeight="1" x14ac:dyDescent="0.15">
      <c r="A436" s="221"/>
      <c r="B436" s="221"/>
      <c r="C436" s="221"/>
      <c r="D436" s="210" t="s">
        <v>91</v>
      </c>
      <c r="E436" s="212">
        <v>3</v>
      </c>
      <c r="F436" s="212">
        <v>8370</v>
      </c>
      <c r="G436" s="212">
        <v>25110</v>
      </c>
      <c r="H436" s="212">
        <v>1421</v>
      </c>
      <c r="I436" s="212">
        <v>4263</v>
      </c>
      <c r="J436" s="212">
        <v>20847</v>
      </c>
    </row>
    <row r="437" spans="1:10" ht="29.1" customHeight="1" x14ac:dyDescent="0.15">
      <c r="A437" s="221"/>
      <c r="B437" s="221"/>
      <c r="C437" s="222" t="s">
        <v>161</v>
      </c>
      <c r="D437" s="210" t="s">
        <v>87</v>
      </c>
      <c r="E437" s="212">
        <v>6</v>
      </c>
      <c r="F437" s="212">
        <v>13362</v>
      </c>
      <c r="G437" s="212">
        <v>80172</v>
      </c>
      <c r="H437" s="212">
        <v>6286</v>
      </c>
      <c r="I437" s="212">
        <v>37715</v>
      </c>
      <c r="J437" s="212">
        <v>42457</v>
      </c>
    </row>
    <row r="438" spans="1:10" ht="14.1" customHeight="1" x14ac:dyDescent="0.15">
      <c r="A438" s="221"/>
      <c r="B438" s="221"/>
      <c r="C438" s="221"/>
      <c r="D438" s="210" t="s">
        <v>155</v>
      </c>
      <c r="E438" s="212">
        <v>1</v>
      </c>
      <c r="F438" s="212">
        <v>8920</v>
      </c>
      <c r="G438" s="212">
        <v>8920</v>
      </c>
      <c r="H438" s="212">
        <v>1844</v>
      </c>
      <c r="I438" s="212">
        <v>1844</v>
      </c>
      <c r="J438" s="212">
        <v>7076</v>
      </c>
    </row>
    <row r="439" spans="1:10" ht="14.1" customHeight="1" x14ac:dyDescent="0.15">
      <c r="A439" s="221"/>
      <c r="B439" s="221"/>
      <c r="C439" s="221"/>
      <c r="D439" s="210" t="s">
        <v>71</v>
      </c>
      <c r="E439" s="212">
        <v>6682</v>
      </c>
      <c r="F439" s="212">
        <v>7530</v>
      </c>
      <c r="G439" s="212">
        <v>50316898</v>
      </c>
      <c r="H439" s="212">
        <v>702</v>
      </c>
      <c r="I439" s="212">
        <v>4691706</v>
      </c>
      <c r="J439" s="212">
        <v>45625192</v>
      </c>
    </row>
    <row r="440" spans="1:10" ht="14.1" customHeight="1" x14ac:dyDescent="0.15">
      <c r="A440" s="221"/>
      <c r="B440" s="221"/>
      <c r="C440" s="221"/>
      <c r="D440" s="210" t="s">
        <v>91</v>
      </c>
      <c r="E440" s="212">
        <v>659</v>
      </c>
      <c r="F440" s="212">
        <v>7751</v>
      </c>
      <c r="G440" s="212">
        <v>5108157</v>
      </c>
      <c r="H440" s="212">
        <v>785</v>
      </c>
      <c r="I440" s="212">
        <v>517072</v>
      </c>
      <c r="J440" s="212">
        <v>4591085</v>
      </c>
    </row>
    <row r="441" spans="1:10" ht="14.1" customHeight="1" x14ac:dyDescent="0.15">
      <c r="A441" s="221"/>
      <c r="B441" s="220" t="s">
        <v>162</v>
      </c>
      <c r="C441" s="223" t="s">
        <v>108</v>
      </c>
      <c r="D441" s="210" t="s">
        <v>163</v>
      </c>
      <c r="E441" s="212">
        <v>337</v>
      </c>
      <c r="F441" s="212">
        <v>23712</v>
      </c>
      <c r="G441" s="212">
        <v>7990944</v>
      </c>
      <c r="H441" s="212">
        <v>3932</v>
      </c>
      <c r="I441" s="212">
        <v>1325084</v>
      </c>
      <c r="J441" s="212">
        <v>6665860</v>
      </c>
    </row>
    <row r="442" spans="1:10" ht="14.1" customHeight="1" x14ac:dyDescent="0.15">
      <c r="A442" s="221"/>
      <c r="B442" s="221"/>
      <c r="C442" s="221"/>
      <c r="D442" s="210" t="s">
        <v>165</v>
      </c>
      <c r="E442" s="212">
        <v>1342</v>
      </c>
      <c r="F442" s="212">
        <v>20422</v>
      </c>
      <c r="G442" s="212">
        <v>27406324</v>
      </c>
      <c r="H442" s="212">
        <v>3932</v>
      </c>
      <c r="I442" s="212">
        <v>5276744</v>
      </c>
      <c r="J442" s="212">
        <v>22129580</v>
      </c>
    </row>
    <row r="443" spans="1:10" ht="29.1" customHeight="1" x14ac:dyDescent="0.15">
      <c r="A443" s="221"/>
      <c r="B443" s="222" t="s">
        <v>167</v>
      </c>
      <c r="C443" s="223" t="s">
        <v>67</v>
      </c>
      <c r="D443" s="210" t="s">
        <v>104</v>
      </c>
      <c r="E443" s="212">
        <v>1</v>
      </c>
      <c r="F443" s="212">
        <v>61212</v>
      </c>
      <c r="G443" s="212">
        <v>61212</v>
      </c>
      <c r="H443" s="212">
        <v>0</v>
      </c>
      <c r="I443" s="212">
        <v>0</v>
      </c>
      <c r="J443" s="212">
        <v>61212</v>
      </c>
    </row>
    <row r="444" spans="1:10" ht="14.1" customHeight="1" x14ac:dyDescent="0.15">
      <c r="A444" s="221"/>
      <c r="B444" s="221"/>
      <c r="C444" s="221"/>
      <c r="D444" s="210" t="s">
        <v>145</v>
      </c>
      <c r="E444" s="212">
        <v>6</v>
      </c>
      <c r="F444" s="212">
        <v>26911</v>
      </c>
      <c r="G444" s="212">
        <v>161466</v>
      </c>
      <c r="H444" s="212">
        <v>0</v>
      </c>
      <c r="I444" s="212">
        <v>0</v>
      </c>
      <c r="J444" s="212">
        <v>161466</v>
      </c>
    </row>
    <row r="445" spans="1:10" ht="14.1" customHeight="1" x14ac:dyDescent="0.15">
      <c r="A445" s="221"/>
      <c r="B445" s="221"/>
      <c r="C445" s="221"/>
      <c r="D445" s="210" t="s">
        <v>85</v>
      </c>
      <c r="E445" s="212">
        <v>6</v>
      </c>
      <c r="F445" s="212">
        <v>26911</v>
      </c>
      <c r="G445" s="212">
        <v>161466</v>
      </c>
      <c r="H445" s="212">
        <v>0</v>
      </c>
      <c r="I445" s="212">
        <v>0</v>
      </c>
      <c r="J445" s="212">
        <v>161466</v>
      </c>
    </row>
    <row r="446" spans="1:10" ht="14.1" customHeight="1" x14ac:dyDescent="0.15">
      <c r="A446" s="221"/>
      <c r="B446" s="221"/>
      <c r="C446" s="221"/>
      <c r="D446" s="210" t="s">
        <v>141</v>
      </c>
      <c r="E446" s="212">
        <v>9</v>
      </c>
      <c r="F446" s="212">
        <v>13127</v>
      </c>
      <c r="G446" s="212">
        <v>118143</v>
      </c>
      <c r="H446" s="212">
        <v>0</v>
      </c>
      <c r="I446" s="212">
        <v>0</v>
      </c>
      <c r="J446" s="212">
        <v>118143</v>
      </c>
    </row>
    <row r="447" spans="1:10" ht="14.1" customHeight="1" x14ac:dyDescent="0.15">
      <c r="A447" s="221"/>
      <c r="B447" s="221"/>
      <c r="C447" s="221"/>
      <c r="D447" s="210" t="s">
        <v>78</v>
      </c>
      <c r="E447" s="212">
        <v>9</v>
      </c>
      <c r="F447" s="212">
        <v>13127</v>
      </c>
      <c r="G447" s="212">
        <v>118143</v>
      </c>
      <c r="H447" s="212">
        <v>0</v>
      </c>
      <c r="I447" s="212">
        <v>0</v>
      </c>
      <c r="J447" s="212">
        <v>118143</v>
      </c>
    </row>
    <row r="448" spans="1:10" ht="14.1" customHeight="1" x14ac:dyDescent="0.15">
      <c r="A448" s="221"/>
      <c r="B448" s="221"/>
      <c r="C448" s="221"/>
      <c r="D448" s="210" t="s">
        <v>83</v>
      </c>
      <c r="E448" s="212">
        <v>3</v>
      </c>
      <c r="F448" s="212">
        <v>10040</v>
      </c>
      <c r="G448" s="212">
        <v>30120</v>
      </c>
      <c r="H448" s="212">
        <v>0</v>
      </c>
      <c r="I448" s="212">
        <v>0</v>
      </c>
      <c r="J448" s="212">
        <v>30120</v>
      </c>
    </row>
    <row r="449" spans="1:10" ht="14.1" customHeight="1" x14ac:dyDescent="0.15">
      <c r="A449" s="221"/>
      <c r="B449" s="221"/>
      <c r="C449" s="221"/>
      <c r="D449" s="210" t="s">
        <v>136</v>
      </c>
      <c r="E449" s="212">
        <v>5</v>
      </c>
      <c r="F449" s="212">
        <v>6828</v>
      </c>
      <c r="G449" s="212">
        <v>34140</v>
      </c>
      <c r="H449" s="212">
        <v>0</v>
      </c>
      <c r="I449" s="212">
        <v>0</v>
      </c>
      <c r="J449" s="212">
        <v>34140</v>
      </c>
    </row>
    <row r="450" spans="1:10" ht="14.1" customHeight="1" x14ac:dyDescent="0.15">
      <c r="A450" s="221"/>
      <c r="B450" s="221"/>
      <c r="C450" s="221"/>
      <c r="D450" s="210" t="s">
        <v>77</v>
      </c>
      <c r="E450" s="212">
        <v>11</v>
      </c>
      <c r="F450" s="212">
        <v>6828</v>
      </c>
      <c r="G450" s="212">
        <v>75108</v>
      </c>
      <c r="H450" s="212">
        <v>0</v>
      </c>
      <c r="I450" s="212">
        <v>0</v>
      </c>
      <c r="J450" s="212">
        <v>75108</v>
      </c>
    </row>
    <row r="451" spans="1:10" ht="14.1" customHeight="1" x14ac:dyDescent="0.15">
      <c r="A451" s="221"/>
      <c r="B451" s="221"/>
      <c r="C451" s="221"/>
      <c r="D451" s="210" t="s">
        <v>149</v>
      </c>
      <c r="E451" s="212">
        <v>1</v>
      </c>
      <c r="F451" s="212">
        <v>4251</v>
      </c>
      <c r="G451" s="212">
        <v>4251</v>
      </c>
      <c r="H451" s="212">
        <v>0</v>
      </c>
      <c r="I451" s="212">
        <v>0</v>
      </c>
      <c r="J451" s="212">
        <v>4251</v>
      </c>
    </row>
    <row r="452" spans="1:10" ht="14.1" customHeight="1" x14ac:dyDescent="0.15">
      <c r="A452" s="221"/>
      <c r="B452" s="221"/>
      <c r="C452" s="221"/>
      <c r="D452" s="210" t="s">
        <v>147</v>
      </c>
      <c r="E452" s="212">
        <v>8</v>
      </c>
      <c r="F452" s="212">
        <v>2410</v>
      </c>
      <c r="G452" s="212">
        <v>19280</v>
      </c>
      <c r="H452" s="212">
        <v>0</v>
      </c>
      <c r="I452" s="212">
        <v>0</v>
      </c>
      <c r="J452" s="212">
        <v>19280</v>
      </c>
    </row>
    <row r="453" spans="1:10" ht="14.1" customHeight="1" x14ac:dyDescent="0.15">
      <c r="A453" s="221"/>
      <c r="B453" s="221"/>
      <c r="C453" s="221"/>
      <c r="D453" s="210" t="s">
        <v>142</v>
      </c>
      <c r="E453" s="212">
        <v>3</v>
      </c>
      <c r="F453" s="212">
        <v>4097</v>
      </c>
      <c r="G453" s="212">
        <v>12291</v>
      </c>
      <c r="H453" s="212">
        <v>0</v>
      </c>
      <c r="I453" s="212">
        <v>0</v>
      </c>
      <c r="J453" s="212">
        <v>12291</v>
      </c>
    </row>
    <row r="454" spans="1:10" ht="14.1" customHeight="1" x14ac:dyDescent="0.15">
      <c r="A454" s="221"/>
      <c r="B454" s="221"/>
      <c r="C454" s="221"/>
      <c r="D454" s="210" t="s">
        <v>137</v>
      </c>
      <c r="E454" s="212">
        <v>12</v>
      </c>
      <c r="F454" s="212">
        <v>4097</v>
      </c>
      <c r="G454" s="212">
        <v>49164</v>
      </c>
      <c r="H454" s="212">
        <v>0</v>
      </c>
      <c r="I454" s="212">
        <v>0</v>
      </c>
      <c r="J454" s="212">
        <v>49164</v>
      </c>
    </row>
    <row r="455" spans="1:10" ht="14.1" customHeight="1" x14ac:dyDescent="0.15">
      <c r="A455" s="221"/>
      <c r="B455" s="221"/>
      <c r="C455" s="221"/>
      <c r="D455" s="210" t="s">
        <v>143</v>
      </c>
      <c r="E455" s="212">
        <v>137</v>
      </c>
      <c r="F455" s="212">
        <v>5103</v>
      </c>
      <c r="G455" s="212">
        <v>699111</v>
      </c>
      <c r="H455" s="212">
        <v>0</v>
      </c>
      <c r="I455" s="212">
        <v>0</v>
      </c>
      <c r="J455" s="212">
        <v>699111</v>
      </c>
    </row>
    <row r="456" spans="1:10" ht="14.1" customHeight="1" x14ac:dyDescent="0.15">
      <c r="A456" s="221"/>
      <c r="B456" s="221"/>
      <c r="C456" s="221"/>
      <c r="D456" s="210" t="s">
        <v>138</v>
      </c>
      <c r="E456" s="212">
        <v>434</v>
      </c>
      <c r="F456" s="212">
        <v>5103</v>
      </c>
      <c r="G456" s="212">
        <v>2214702</v>
      </c>
      <c r="H456" s="212">
        <v>0</v>
      </c>
      <c r="I456" s="212">
        <v>0</v>
      </c>
      <c r="J456" s="212">
        <v>2214702</v>
      </c>
    </row>
    <row r="457" spans="1:10" ht="29.1" customHeight="1" x14ac:dyDescent="0.15">
      <c r="A457" s="221"/>
      <c r="B457" s="221"/>
      <c r="C457" s="222" t="s">
        <v>159</v>
      </c>
      <c r="D457" s="210" t="s">
        <v>70</v>
      </c>
      <c r="E457" s="212">
        <v>38</v>
      </c>
      <c r="F457" s="212">
        <v>3986</v>
      </c>
      <c r="G457" s="212">
        <v>151468</v>
      </c>
      <c r="H457" s="212">
        <v>1421</v>
      </c>
      <c r="I457" s="212">
        <v>53998</v>
      </c>
      <c r="J457" s="212">
        <v>97470</v>
      </c>
    </row>
    <row r="458" spans="1:10" ht="14.1" customHeight="1" x14ac:dyDescent="0.15">
      <c r="A458" s="221"/>
      <c r="B458" s="221"/>
      <c r="C458" s="221"/>
      <c r="D458" s="210" t="s">
        <v>101</v>
      </c>
      <c r="E458" s="212">
        <v>1</v>
      </c>
      <c r="F458" s="212">
        <v>46407</v>
      </c>
      <c r="G458" s="212">
        <v>46407</v>
      </c>
      <c r="H458" s="212">
        <v>1421</v>
      </c>
      <c r="I458" s="212">
        <v>1421</v>
      </c>
      <c r="J458" s="212">
        <v>44986</v>
      </c>
    </row>
    <row r="459" spans="1:10" ht="14.1" customHeight="1" x14ac:dyDescent="0.15">
      <c r="A459" s="221"/>
      <c r="B459" s="221"/>
      <c r="C459" s="221"/>
      <c r="D459" s="210" t="s">
        <v>79</v>
      </c>
      <c r="E459" s="212">
        <v>5</v>
      </c>
      <c r="F459" s="212">
        <v>28332</v>
      </c>
      <c r="G459" s="212">
        <v>141660</v>
      </c>
      <c r="H459" s="212">
        <v>1421</v>
      </c>
      <c r="I459" s="212">
        <v>7105</v>
      </c>
      <c r="J459" s="212">
        <v>134555</v>
      </c>
    </row>
    <row r="460" spans="1:10" ht="14.1" customHeight="1" x14ac:dyDescent="0.15">
      <c r="A460" s="221"/>
      <c r="B460" s="221"/>
      <c r="C460" s="221"/>
      <c r="D460" s="210" t="s">
        <v>73</v>
      </c>
      <c r="E460" s="212">
        <v>9</v>
      </c>
      <c r="F460" s="212">
        <v>14548</v>
      </c>
      <c r="G460" s="212">
        <v>130932</v>
      </c>
      <c r="H460" s="212">
        <v>1421</v>
      </c>
      <c r="I460" s="212">
        <v>12789</v>
      </c>
      <c r="J460" s="212">
        <v>118143</v>
      </c>
    </row>
    <row r="461" spans="1:10" ht="14.1" customHeight="1" x14ac:dyDescent="0.15">
      <c r="A461" s="221"/>
      <c r="B461" s="221"/>
      <c r="C461" s="221"/>
      <c r="D461" s="210" t="s">
        <v>74</v>
      </c>
      <c r="E461" s="212">
        <v>1</v>
      </c>
      <c r="F461" s="212">
        <v>11461</v>
      </c>
      <c r="G461" s="212">
        <v>11461</v>
      </c>
      <c r="H461" s="212">
        <v>1421</v>
      </c>
      <c r="I461" s="212">
        <v>1421</v>
      </c>
      <c r="J461" s="212">
        <v>10040</v>
      </c>
    </row>
    <row r="462" spans="1:10" ht="14.1" customHeight="1" x14ac:dyDescent="0.15">
      <c r="A462" s="221"/>
      <c r="B462" s="221"/>
      <c r="C462" s="221"/>
      <c r="D462" s="210" t="s">
        <v>71</v>
      </c>
      <c r="E462" s="212">
        <v>11</v>
      </c>
      <c r="F462" s="212">
        <v>8249</v>
      </c>
      <c r="G462" s="212">
        <v>90739</v>
      </c>
      <c r="H462" s="212">
        <v>1421</v>
      </c>
      <c r="I462" s="212">
        <v>15631</v>
      </c>
      <c r="J462" s="212">
        <v>75108</v>
      </c>
    </row>
    <row r="463" spans="1:10" ht="14.1" customHeight="1" x14ac:dyDescent="0.15">
      <c r="A463" s="221"/>
      <c r="B463" s="221"/>
      <c r="C463" s="221"/>
      <c r="D463" s="210" t="s">
        <v>72</v>
      </c>
      <c r="E463" s="212">
        <v>1</v>
      </c>
      <c r="F463" s="212">
        <v>5672</v>
      </c>
      <c r="G463" s="212">
        <v>5672</v>
      </c>
      <c r="H463" s="212">
        <v>1421</v>
      </c>
      <c r="I463" s="212">
        <v>1421</v>
      </c>
      <c r="J463" s="212">
        <v>4251</v>
      </c>
    </row>
    <row r="464" spans="1:10" ht="14.1" customHeight="1" x14ac:dyDescent="0.15">
      <c r="A464" s="221"/>
      <c r="B464" s="221"/>
      <c r="C464" s="221"/>
      <c r="D464" s="210" t="s">
        <v>82</v>
      </c>
      <c r="E464" s="212">
        <v>1</v>
      </c>
      <c r="F464" s="212">
        <v>3831</v>
      </c>
      <c r="G464" s="212">
        <v>3831</v>
      </c>
      <c r="H464" s="212">
        <v>1421</v>
      </c>
      <c r="I464" s="212">
        <v>1421</v>
      </c>
      <c r="J464" s="212">
        <v>2410</v>
      </c>
    </row>
    <row r="465" spans="1:10" ht="14.1" customHeight="1" x14ac:dyDescent="0.15">
      <c r="A465" s="221"/>
      <c r="B465" s="221"/>
      <c r="C465" s="221"/>
      <c r="D465" s="210" t="s">
        <v>139</v>
      </c>
      <c r="E465" s="212">
        <v>63</v>
      </c>
      <c r="F465" s="212">
        <v>5518</v>
      </c>
      <c r="G465" s="212">
        <v>347634</v>
      </c>
      <c r="H465" s="212">
        <v>1421</v>
      </c>
      <c r="I465" s="212">
        <v>89523</v>
      </c>
      <c r="J465" s="212">
        <v>258111</v>
      </c>
    </row>
    <row r="466" spans="1:10" ht="14.1" customHeight="1" x14ac:dyDescent="0.15">
      <c r="A466" s="221"/>
      <c r="B466" s="221"/>
      <c r="C466" s="221"/>
      <c r="D466" s="210" t="s">
        <v>140</v>
      </c>
      <c r="E466" s="212">
        <v>9</v>
      </c>
      <c r="F466" s="212">
        <v>6524</v>
      </c>
      <c r="G466" s="212">
        <v>58716</v>
      </c>
      <c r="H466" s="212">
        <v>1421</v>
      </c>
      <c r="I466" s="212">
        <v>12789</v>
      </c>
      <c r="J466" s="212">
        <v>45927</v>
      </c>
    </row>
    <row r="467" spans="1:10" ht="29.1" customHeight="1" x14ac:dyDescent="0.15">
      <c r="A467" s="221"/>
      <c r="B467" s="221"/>
      <c r="C467" s="222" t="s">
        <v>160</v>
      </c>
      <c r="D467" s="210" t="s">
        <v>70</v>
      </c>
      <c r="E467" s="212">
        <v>16</v>
      </c>
      <c r="F467" s="212">
        <v>3433</v>
      </c>
      <c r="G467" s="212">
        <v>54932</v>
      </c>
      <c r="H467" s="212">
        <v>1367</v>
      </c>
      <c r="I467" s="212">
        <v>21872</v>
      </c>
      <c r="J467" s="212">
        <v>33060</v>
      </c>
    </row>
    <row r="468" spans="1:10" ht="14.1" customHeight="1" x14ac:dyDescent="0.15">
      <c r="A468" s="221"/>
      <c r="B468" s="221"/>
      <c r="C468" s="221"/>
      <c r="D468" s="210" t="s">
        <v>88</v>
      </c>
      <c r="E468" s="212">
        <v>17</v>
      </c>
      <c r="F468" s="212">
        <v>62579</v>
      </c>
      <c r="G468" s="212">
        <v>1063843</v>
      </c>
      <c r="H468" s="212">
        <v>1367</v>
      </c>
      <c r="I468" s="212">
        <v>23239</v>
      </c>
      <c r="J468" s="212">
        <v>1040604</v>
      </c>
    </row>
    <row r="469" spans="1:10" ht="14.1" customHeight="1" x14ac:dyDescent="0.15">
      <c r="A469" s="221"/>
      <c r="B469" s="221"/>
      <c r="C469" s="221"/>
      <c r="D469" s="210" t="s">
        <v>101</v>
      </c>
      <c r="E469" s="212">
        <v>5</v>
      </c>
      <c r="F469" s="212">
        <v>46353</v>
      </c>
      <c r="G469" s="212">
        <v>231765</v>
      </c>
      <c r="H469" s="212">
        <v>1367</v>
      </c>
      <c r="I469" s="212">
        <v>6835</v>
      </c>
      <c r="J469" s="212">
        <v>224930</v>
      </c>
    </row>
    <row r="470" spans="1:10" ht="14.1" customHeight="1" x14ac:dyDescent="0.15">
      <c r="A470" s="221"/>
      <c r="B470" s="221"/>
      <c r="C470" s="221"/>
      <c r="D470" s="210" t="s">
        <v>79</v>
      </c>
      <c r="E470" s="212">
        <v>80</v>
      </c>
      <c r="F470" s="212">
        <v>27962</v>
      </c>
      <c r="G470" s="212">
        <v>2236970</v>
      </c>
      <c r="H470" s="212">
        <v>1367</v>
      </c>
      <c r="I470" s="212">
        <v>109360</v>
      </c>
      <c r="J470" s="212">
        <v>2127610</v>
      </c>
    </row>
    <row r="471" spans="1:10" ht="14.1" customHeight="1" x14ac:dyDescent="0.15">
      <c r="A471" s="221"/>
      <c r="B471" s="221"/>
      <c r="C471" s="221"/>
      <c r="D471" s="210" t="s">
        <v>73</v>
      </c>
      <c r="E471" s="212">
        <v>70</v>
      </c>
      <c r="F471" s="212">
        <v>14038</v>
      </c>
      <c r="G471" s="212">
        <v>982660</v>
      </c>
      <c r="H471" s="212">
        <v>1367</v>
      </c>
      <c r="I471" s="212">
        <v>95690</v>
      </c>
      <c r="J471" s="212">
        <v>886970</v>
      </c>
    </row>
    <row r="472" spans="1:10" ht="14.1" customHeight="1" x14ac:dyDescent="0.15">
      <c r="A472" s="221"/>
      <c r="B472" s="221"/>
      <c r="C472" s="221"/>
      <c r="D472" s="210" t="s">
        <v>74</v>
      </c>
      <c r="E472" s="212">
        <v>14</v>
      </c>
      <c r="F472" s="212">
        <v>11407</v>
      </c>
      <c r="G472" s="212">
        <v>159698</v>
      </c>
      <c r="H472" s="212">
        <v>1367</v>
      </c>
      <c r="I472" s="212">
        <v>19138</v>
      </c>
      <c r="J472" s="212">
        <v>140560</v>
      </c>
    </row>
    <row r="473" spans="1:10" ht="14.1" customHeight="1" x14ac:dyDescent="0.15">
      <c r="A473" s="221"/>
      <c r="B473" s="221"/>
      <c r="C473" s="221"/>
      <c r="D473" s="210" t="s">
        <v>71</v>
      </c>
      <c r="E473" s="212">
        <v>9</v>
      </c>
      <c r="F473" s="212">
        <v>7604</v>
      </c>
      <c r="G473" s="212">
        <v>68435</v>
      </c>
      <c r="H473" s="212">
        <v>1367</v>
      </c>
      <c r="I473" s="212">
        <v>12303</v>
      </c>
      <c r="J473" s="212">
        <v>56132</v>
      </c>
    </row>
    <row r="474" spans="1:10" ht="14.1" customHeight="1" x14ac:dyDescent="0.15">
      <c r="A474" s="221"/>
      <c r="B474" s="221"/>
      <c r="C474" s="221"/>
      <c r="D474" s="210" t="s">
        <v>72</v>
      </c>
      <c r="E474" s="212">
        <v>12</v>
      </c>
      <c r="F474" s="212">
        <v>5618</v>
      </c>
      <c r="G474" s="212">
        <v>67416</v>
      </c>
      <c r="H474" s="212">
        <v>1367</v>
      </c>
      <c r="I474" s="212">
        <v>16404</v>
      </c>
      <c r="J474" s="212">
        <v>51012</v>
      </c>
    </row>
    <row r="475" spans="1:10" ht="14.1" customHeight="1" x14ac:dyDescent="0.15">
      <c r="A475" s="221"/>
      <c r="B475" s="221"/>
      <c r="C475" s="221"/>
      <c r="D475" s="210" t="s">
        <v>139</v>
      </c>
      <c r="E475" s="212">
        <v>31</v>
      </c>
      <c r="F475" s="212">
        <v>5314</v>
      </c>
      <c r="G475" s="212">
        <v>164729</v>
      </c>
      <c r="H475" s="212">
        <v>1367</v>
      </c>
      <c r="I475" s="212">
        <v>42377</v>
      </c>
      <c r="J475" s="212">
        <v>122352</v>
      </c>
    </row>
    <row r="476" spans="1:10" ht="14.1" customHeight="1" x14ac:dyDescent="0.15">
      <c r="A476" s="221"/>
      <c r="B476" s="221"/>
      <c r="C476" s="221"/>
      <c r="D476" s="210" t="s">
        <v>140</v>
      </c>
      <c r="E476" s="212">
        <v>65</v>
      </c>
      <c r="F476" s="212">
        <v>6163</v>
      </c>
      <c r="G476" s="212">
        <v>400600</v>
      </c>
      <c r="H476" s="212">
        <v>1367</v>
      </c>
      <c r="I476" s="212">
        <v>88855</v>
      </c>
      <c r="J476" s="212">
        <v>311745</v>
      </c>
    </row>
    <row r="477" spans="1:10" ht="29.1" customHeight="1" x14ac:dyDescent="0.15">
      <c r="A477" s="221"/>
      <c r="B477" s="221"/>
      <c r="C477" s="222" t="s">
        <v>161</v>
      </c>
      <c r="D477" s="210" t="s">
        <v>70</v>
      </c>
      <c r="E477" s="212">
        <v>1773</v>
      </c>
      <c r="F477" s="212">
        <v>3267</v>
      </c>
      <c r="G477" s="212">
        <v>5792391</v>
      </c>
      <c r="H477" s="212">
        <v>702</v>
      </c>
      <c r="I477" s="212">
        <v>1244646</v>
      </c>
      <c r="J477" s="212">
        <v>4547745</v>
      </c>
    </row>
    <row r="478" spans="1:10" ht="14.1" customHeight="1" x14ac:dyDescent="0.15">
      <c r="A478" s="221"/>
      <c r="B478" s="221"/>
      <c r="C478" s="221"/>
      <c r="D478" s="210" t="s">
        <v>88</v>
      </c>
      <c r="E478" s="212">
        <v>27</v>
      </c>
      <c r="F478" s="212">
        <v>61914</v>
      </c>
      <c r="G478" s="212">
        <v>1671678</v>
      </c>
      <c r="H478" s="212">
        <v>702</v>
      </c>
      <c r="I478" s="212">
        <v>18954</v>
      </c>
      <c r="J478" s="212">
        <v>1652724</v>
      </c>
    </row>
    <row r="479" spans="1:10" ht="14.1" customHeight="1" x14ac:dyDescent="0.15">
      <c r="A479" s="221"/>
      <c r="B479" s="221"/>
      <c r="C479" s="221"/>
      <c r="D479" s="210" t="s">
        <v>101</v>
      </c>
      <c r="E479" s="212">
        <v>11</v>
      </c>
      <c r="F479" s="212">
        <v>45688</v>
      </c>
      <c r="G479" s="212">
        <v>502568</v>
      </c>
      <c r="H479" s="212">
        <v>702</v>
      </c>
      <c r="I479" s="212">
        <v>7722</v>
      </c>
      <c r="J479" s="212">
        <v>494846</v>
      </c>
    </row>
    <row r="480" spans="1:10" ht="14.1" customHeight="1" x14ac:dyDescent="0.15">
      <c r="A480" s="221"/>
      <c r="B480" s="221"/>
      <c r="C480" s="221"/>
      <c r="D480" s="210" t="s">
        <v>79</v>
      </c>
      <c r="E480" s="212">
        <v>1925</v>
      </c>
      <c r="F480" s="212">
        <v>27613</v>
      </c>
      <c r="G480" s="212">
        <v>53155025</v>
      </c>
      <c r="H480" s="212">
        <v>702</v>
      </c>
      <c r="I480" s="212">
        <v>1351350</v>
      </c>
      <c r="J480" s="212">
        <v>51803675</v>
      </c>
    </row>
    <row r="481" spans="1:10" ht="14.1" customHeight="1" x14ac:dyDescent="0.15">
      <c r="A481" s="221"/>
      <c r="B481" s="221"/>
      <c r="C481" s="221"/>
      <c r="D481" s="210" t="s">
        <v>73</v>
      </c>
      <c r="E481" s="212">
        <v>3220</v>
      </c>
      <c r="F481" s="212">
        <v>13829</v>
      </c>
      <c r="G481" s="212">
        <v>44529380</v>
      </c>
      <c r="H481" s="212">
        <v>702</v>
      </c>
      <c r="I481" s="212">
        <v>2260440</v>
      </c>
      <c r="J481" s="212">
        <v>42268940</v>
      </c>
    </row>
    <row r="482" spans="1:10" ht="14.1" customHeight="1" x14ac:dyDescent="0.15">
      <c r="A482" s="221"/>
      <c r="B482" s="221"/>
      <c r="C482" s="221"/>
      <c r="D482" s="210" t="s">
        <v>74</v>
      </c>
      <c r="E482" s="212">
        <v>779</v>
      </c>
      <c r="F482" s="212">
        <v>10742</v>
      </c>
      <c r="G482" s="212">
        <v>8368018</v>
      </c>
      <c r="H482" s="212">
        <v>702</v>
      </c>
      <c r="I482" s="212">
        <v>546858</v>
      </c>
      <c r="J482" s="212">
        <v>7821160</v>
      </c>
    </row>
    <row r="483" spans="1:10" ht="14.1" customHeight="1" x14ac:dyDescent="0.15">
      <c r="A483" s="221"/>
      <c r="B483" s="221"/>
      <c r="C483" s="221"/>
      <c r="D483" s="210" t="s">
        <v>71</v>
      </c>
      <c r="E483" s="212">
        <v>948</v>
      </c>
      <c r="F483" s="212">
        <v>7530</v>
      </c>
      <c r="G483" s="212">
        <v>7138440</v>
      </c>
      <c r="H483" s="212">
        <v>702</v>
      </c>
      <c r="I483" s="212">
        <v>665496</v>
      </c>
      <c r="J483" s="212">
        <v>6472944</v>
      </c>
    </row>
    <row r="484" spans="1:10" ht="14.1" customHeight="1" x14ac:dyDescent="0.15">
      <c r="A484" s="221"/>
      <c r="B484" s="221"/>
      <c r="C484" s="221"/>
      <c r="D484" s="210" t="s">
        <v>72</v>
      </c>
      <c r="E484" s="212">
        <v>127</v>
      </c>
      <c r="F484" s="212">
        <v>4953</v>
      </c>
      <c r="G484" s="212">
        <v>629031</v>
      </c>
      <c r="H484" s="212">
        <v>702</v>
      </c>
      <c r="I484" s="212">
        <v>89154</v>
      </c>
      <c r="J484" s="212">
        <v>539877</v>
      </c>
    </row>
    <row r="485" spans="1:10" ht="14.1" customHeight="1" x14ac:dyDescent="0.15">
      <c r="A485" s="221"/>
      <c r="B485" s="221"/>
      <c r="C485" s="221"/>
      <c r="D485" s="210" t="s">
        <v>82</v>
      </c>
      <c r="E485" s="212">
        <v>114</v>
      </c>
      <c r="F485" s="212">
        <v>3112</v>
      </c>
      <c r="G485" s="212">
        <v>354768</v>
      </c>
      <c r="H485" s="212">
        <v>702</v>
      </c>
      <c r="I485" s="212">
        <v>80028</v>
      </c>
      <c r="J485" s="212">
        <v>274740</v>
      </c>
    </row>
    <row r="486" spans="1:10" ht="14.1" customHeight="1" x14ac:dyDescent="0.15">
      <c r="A486" s="221"/>
      <c r="B486" s="221"/>
      <c r="C486" s="221"/>
      <c r="D486" s="210" t="s">
        <v>75</v>
      </c>
      <c r="E486" s="212">
        <v>15</v>
      </c>
      <c r="F486" s="212">
        <v>1907</v>
      </c>
      <c r="G486" s="212">
        <v>28605</v>
      </c>
      <c r="H486" s="212">
        <v>702</v>
      </c>
      <c r="I486" s="212">
        <v>10530</v>
      </c>
      <c r="J486" s="212">
        <v>18075</v>
      </c>
    </row>
    <row r="487" spans="1:10" ht="14.1" customHeight="1" x14ac:dyDescent="0.15">
      <c r="A487" s="221"/>
      <c r="B487" s="221"/>
      <c r="C487" s="221"/>
      <c r="D487" s="210" t="s">
        <v>92</v>
      </c>
      <c r="E487" s="212">
        <v>3</v>
      </c>
      <c r="F487" s="212">
        <v>1244</v>
      </c>
      <c r="G487" s="212">
        <v>3732</v>
      </c>
      <c r="H487" s="212">
        <v>702</v>
      </c>
      <c r="I487" s="212">
        <v>2106</v>
      </c>
      <c r="J487" s="212">
        <v>1626</v>
      </c>
    </row>
    <row r="488" spans="1:10" ht="14.1" customHeight="1" x14ac:dyDescent="0.15">
      <c r="A488" s="221"/>
      <c r="B488" s="221"/>
      <c r="C488" s="221"/>
      <c r="D488" s="210" t="s">
        <v>69</v>
      </c>
      <c r="E488" s="212">
        <v>117</v>
      </c>
      <c r="F488" s="212">
        <v>24895</v>
      </c>
      <c r="G488" s="212">
        <v>2912715</v>
      </c>
      <c r="H488" s="212">
        <v>702</v>
      </c>
      <c r="I488" s="212">
        <v>82134</v>
      </c>
      <c r="J488" s="212">
        <v>2830581</v>
      </c>
    </row>
    <row r="489" spans="1:10" ht="14.1" customHeight="1" x14ac:dyDescent="0.15">
      <c r="A489" s="221"/>
      <c r="B489" s="221"/>
      <c r="C489" s="221"/>
      <c r="D489" s="210" t="s">
        <v>139</v>
      </c>
      <c r="E489" s="212">
        <v>1022</v>
      </c>
      <c r="F489" s="212">
        <v>4804</v>
      </c>
      <c r="G489" s="212">
        <v>4909611</v>
      </c>
      <c r="H489" s="212">
        <v>702</v>
      </c>
      <c r="I489" s="212">
        <v>717444</v>
      </c>
      <c r="J489" s="212">
        <v>4192167</v>
      </c>
    </row>
    <row r="490" spans="1:10" ht="14.1" customHeight="1" x14ac:dyDescent="0.15">
      <c r="A490" s="221"/>
      <c r="B490" s="221"/>
      <c r="C490" s="221"/>
      <c r="D490" s="210" t="s">
        <v>140</v>
      </c>
      <c r="E490" s="212">
        <v>4596</v>
      </c>
      <c r="F490" s="212">
        <v>5805</v>
      </c>
      <c r="G490" s="212">
        <v>26679780</v>
      </c>
      <c r="H490" s="212">
        <v>702</v>
      </c>
      <c r="I490" s="212">
        <v>3226392</v>
      </c>
      <c r="J490" s="212">
        <v>23453388</v>
      </c>
    </row>
    <row r="491" spans="1:10" ht="14.1" customHeight="1" x14ac:dyDescent="0.15">
      <c r="A491" s="221"/>
      <c r="B491" s="220" t="s">
        <v>168</v>
      </c>
      <c r="C491" s="223" t="s">
        <v>67</v>
      </c>
      <c r="D491" s="210" t="s">
        <v>144</v>
      </c>
      <c r="E491" s="212">
        <v>1</v>
      </c>
      <c r="F491" s="212">
        <v>44986</v>
      </c>
      <c r="G491" s="212">
        <v>44986</v>
      </c>
      <c r="H491" s="212">
        <v>925</v>
      </c>
      <c r="I491" s="212">
        <v>925</v>
      </c>
      <c r="J491" s="212">
        <v>44061</v>
      </c>
    </row>
    <row r="492" spans="1:10" ht="14.1" customHeight="1" x14ac:dyDescent="0.15">
      <c r="A492" s="221"/>
      <c r="B492" s="221"/>
      <c r="C492" s="221"/>
      <c r="D492" s="210" t="s">
        <v>154</v>
      </c>
      <c r="E492" s="212">
        <v>1</v>
      </c>
      <c r="F492" s="212">
        <v>44986</v>
      </c>
      <c r="G492" s="212">
        <v>44986</v>
      </c>
      <c r="H492" s="212">
        <v>925</v>
      </c>
      <c r="I492" s="212">
        <v>925</v>
      </c>
      <c r="J492" s="212">
        <v>44061</v>
      </c>
    </row>
    <row r="493" spans="1:10" ht="14.1" customHeight="1" x14ac:dyDescent="0.15">
      <c r="A493" s="221"/>
      <c r="B493" s="221"/>
      <c r="C493" s="221"/>
      <c r="D493" s="210" t="s">
        <v>145</v>
      </c>
      <c r="E493" s="212">
        <v>41</v>
      </c>
      <c r="F493" s="212">
        <v>26911</v>
      </c>
      <c r="G493" s="212">
        <v>1103351</v>
      </c>
      <c r="H493" s="212">
        <v>925</v>
      </c>
      <c r="I493" s="212">
        <v>37925</v>
      </c>
      <c r="J493" s="212">
        <v>1065426</v>
      </c>
    </row>
    <row r="494" spans="1:10" ht="14.1" customHeight="1" x14ac:dyDescent="0.15">
      <c r="A494" s="221"/>
      <c r="B494" s="221"/>
      <c r="C494" s="221"/>
      <c r="D494" s="210" t="s">
        <v>85</v>
      </c>
      <c r="E494" s="212">
        <v>51</v>
      </c>
      <c r="F494" s="212">
        <v>26911</v>
      </c>
      <c r="G494" s="212">
        <v>1372461</v>
      </c>
      <c r="H494" s="212">
        <v>925</v>
      </c>
      <c r="I494" s="212">
        <v>47175</v>
      </c>
      <c r="J494" s="212">
        <v>1325286</v>
      </c>
    </row>
    <row r="495" spans="1:10" ht="14.1" customHeight="1" x14ac:dyDescent="0.15">
      <c r="A495" s="221"/>
      <c r="B495" s="221"/>
      <c r="C495" s="221"/>
      <c r="D495" s="210" t="s">
        <v>141</v>
      </c>
      <c r="E495" s="212">
        <v>59</v>
      </c>
      <c r="F495" s="212">
        <v>13127</v>
      </c>
      <c r="G495" s="212">
        <v>774493</v>
      </c>
      <c r="H495" s="212">
        <v>925</v>
      </c>
      <c r="I495" s="212">
        <v>54575</v>
      </c>
      <c r="J495" s="212">
        <v>719918</v>
      </c>
    </row>
    <row r="496" spans="1:10" ht="14.1" customHeight="1" x14ac:dyDescent="0.15">
      <c r="A496" s="221"/>
      <c r="B496" s="221"/>
      <c r="C496" s="221"/>
      <c r="D496" s="210" t="s">
        <v>78</v>
      </c>
      <c r="E496" s="212">
        <v>7</v>
      </c>
      <c r="F496" s="212">
        <v>13127</v>
      </c>
      <c r="G496" s="212">
        <v>91889</v>
      </c>
      <c r="H496" s="212">
        <v>925</v>
      </c>
      <c r="I496" s="212">
        <v>6475</v>
      </c>
      <c r="J496" s="212">
        <v>85414</v>
      </c>
    </row>
    <row r="497" spans="1:10" ht="14.1" customHeight="1" x14ac:dyDescent="0.15">
      <c r="A497" s="221"/>
      <c r="B497" s="221"/>
      <c r="C497" s="221"/>
      <c r="D497" s="210" t="s">
        <v>146</v>
      </c>
      <c r="E497" s="212">
        <v>43</v>
      </c>
      <c r="F497" s="212">
        <v>10040</v>
      </c>
      <c r="G497" s="212">
        <v>431720</v>
      </c>
      <c r="H497" s="212">
        <v>925</v>
      </c>
      <c r="I497" s="212">
        <v>39775</v>
      </c>
      <c r="J497" s="212">
        <v>391945</v>
      </c>
    </row>
    <row r="498" spans="1:10" ht="14.1" customHeight="1" x14ac:dyDescent="0.15">
      <c r="A498" s="221"/>
      <c r="B498" s="221"/>
      <c r="C498" s="221"/>
      <c r="D498" s="210" t="s">
        <v>83</v>
      </c>
      <c r="E498" s="212">
        <v>5</v>
      </c>
      <c r="F498" s="212">
        <v>10040</v>
      </c>
      <c r="G498" s="212">
        <v>50200</v>
      </c>
      <c r="H498" s="212">
        <v>925</v>
      </c>
      <c r="I498" s="212">
        <v>4625</v>
      </c>
      <c r="J498" s="212">
        <v>45575</v>
      </c>
    </row>
    <row r="499" spans="1:10" ht="14.1" customHeight="1" x14ac:dyDescent="0.15">
      <c r="A499" s="221"/>
      <c r="B499" s="221"/>
      <c r="C499" s="221"/>
      <c r="D499" s="210" t="s">
        <v>136</v>
      </c>
      <c r="E499" s="212">
        <v>80</v>
      </c>
      <c r="F499" s="212">
        <v>6828</v>
      </c>
      <c r="G499" s="212">
        <v>546240</v>
      </c>
      <c r="H499" s="212">
        <v>925</v>
      </c>
      <c r="I499" s="212">
        <v>74000</v>
      </c>
      <c r="J499" s="212">
        <v>472240</v>
      </c>
    </row>
    <row r="500" spans="1:10" ht="14.1" customHeight="1" x14ac:dyDescent="0.15">
      <c r="A500" s="221"/>
      <c r="B500" s="221"/>
      <c r="C500" s="221"/>
      <c r="D500" s="210" t="s">
        <v>77</v>
      </c>
      <c r="E500" s="212">
        <v>86</v>
      </c>
      <c r="F500" s="212">
        <v>6828</v>
      </c>
      <c r="G500" s="212">
        <v>587208</v>
      </c>
      <c r="H500" s="212">
        <v>925</v>
      </c>
      <c r="I500" s="212">
        <v>79550</v>
      </c>
      <c r="J500" s="212">
        <v>507658</v>
      </c>
    </row>
    <row r="501" spans="1:10" ht="14.1" customHeight="1" x14ac:dyDescent="0.15">
      <c r="A501" s="221"/>
      <c r="B501" s="221"/>
      <c r="C501" s="221"/>
      <c r="D501" s="210" t="s">
        <v>149</v>
      </c>
      <c r="E501" s="212">
        <v>14</v>
      </c>
      <c r="F501" s="212">
        <v>4251</v>
      </c>
      <c r="G501" s="212">
        <v>59514</v>
      </c>
      <c r="H501" s="212">
        <v>925</v>
      </c>
      <c r="I501" s="212">
        <v>12950</v>
      </c>
      <c r="J501" s="212">
        <v>46564</v>
      </c>
    </row>
    <row r="502" spans="1:10" ht="14.1" customHeight="1" x14ac:dyDescent="0.15">
      <c r="A502" s="221"/>
      <c r="B502" s="221"/>
      <c r="C502" s="221"/>
      <c r="D502" s="210" t="s">
        <v>86</v>
      </c>
      <c r="E502" s="212">
        <v>7</v>
      </c>
      <c r="F502" s="212">
        <v>4251</v>
      </c>
      <c r="G502" s="212">
        <v>29757</v>
      </c>
      <c r="H502" s="212">
        <v>925</v>
      </c>
      <c r="I502" s="212">
        <v>6475</v>
      </c>
      <c r="J502" s="212">
        <v>23282</v>
      </c>
    </row>
    <row r="503" spans="1:10" ht="14.1" customHeight="1" x14ac:dyDescent="0.15">
      <c r="A503" s="221"/>
      <c r="B503" s="221"/>
      <c r="C503" s="221"/>
      <c r="D503" s="210" t="s">
        <v>147</v>
      </c>
      <c r="E503" s="212">
        <v>5</v>
      </c>
      <c r="F503" s="212">
        <v>2410</v>
      </c>
      <c r="G503" s="212">
        <v>12050</v>
      </c>
      <c r="H503" s="212">
        <v>925</v>
      </c>
      <c r="I503" s="212">
        <v>4625</v>
      </c>
      <c r="J503" s="212">
        <v>7425</v>
      </c>
    </row>
    <row r="504" spans="1:10" ht="14.1" customHeight="1" x14ac:dyDescent="0.15">
      <c r="A504" s="221"/>
      <c r="B504" s="221"/>
      <c r="C504" s="221"/>
      <c r="D504" s="210" t="s">
        <v>84</v>
      </c>
      <c r="E504" s="212">
        <v>28</v>
      </c>
      <c r="F504" s="212">
        <v>2410</v>
      </c>
      <c r="G504" s="212">
        <v>67480</v>
      </c>
      <c r="H504" s="212">
        <v>925</v>
      </c>
      <c r="I504" s="212">
        <v>25900</v>
      </c>
      <c r="J504" s="212">
        <v>41580</v>
      </c>
    </row>
    <row r="505" spans="1:10" ht="14.1" customHeight="1" x14ac:dyDescent="0.15">
      <c r="A505" s="221"/>
      <c r="B505" s="221"/>
      <c r="C505" s="221"/>
      <c r="D505" s="210" t="s">
        <v>148</v>
      </c>
      <c r="E505" s="212">
        <v>8</v>
      </c>
      <c r="F505" s="212">
        <v>1205</v>
      </c>
      <c r="G505" s="212">
        <v>9640</v>
      </c>
      <c r="H505" s="212">
        <v>925</v>
      </c>
      <c r="I505" s="212">
        <v>7400</v>
      </c>
      <c r="J505" s="212">
        <v>2240</v>
      </c>
    </row>
    <row r="506" spans="1:10" ht="14.1" customHeight="1" x14ac:dyDescent="0.15">
      <c r="A506" s="221"/>
      <c r="B506" s="221"/>
      <c r="C506" s="221"/>
      <c r="D506" s="210" t="s">
        <v>89</v>
      </c>
      <c r="E506" s="212">
        <v>9</v>
      </c>
      <c r="F506" s="212">
        <v>1205</v>
      </c>
      <c r="G506" s="212">
        <v>10845</v>
      </c>
      <c r="H506" s="212">
        <v>925</v>
      </c>
      <c r="I506" s="212">
        <v>8325</v>
      </c>
      <c r="J506" s="212">
        <v>2520</v>
      </c>
    </row>
    <row r="507" spans="1:10" ht="29.1" customHeight="1" x14ac:dyDescent="0.15">
      <c r="A507" s="221"/>
      <c r="B507" s="221"/>
      <c r="C507" s="222" t="s">
        <v>159</v>
      </c>
      <c r="D507" s="210" t="s">
        <v>79</v>
      </c>
      <c r="E507" s="212">
        <v>12</v>
      </c>
      <c r="F507" s="212">
        <v>28332</v>
      </c>
      <c r="G507" s="212">
        <v>339984</v>
      </c>
      <c r="H507" s="212">
        <v>2346</v>
      </c>
      <c r="I507" s="212">
        <v>28152</v>
      </c>
      <c r="J507" s="212">
        <v>311832</v>
      </c>
    </row>
    <row r="508" spans="1:10" ht="14.1" customHeight="1" x14ac:dyDescent="0.15">
      <c r="A508" s="221"/>
      <c r="B508" s="221"/>
      <c r="C508" s="221"/>
      <c r="D508" s="210" t="s">
        <v>73</v>
      </c>
      <c r="E508" s="212">
        <v>6</v>
      </c>
      <c r="F508" s="212">
        <v>14548</v>
      </c>
      <c r="G508" s="212">
        <v>87288</v>
      </c>
      <c r="H508" s="212">
        <v>2346</v>
      </c>
      <c r="I508" s="212">
        <v>14076</v>
      </c>
      <c r="J508" s="212">
        <v>73212</v>
      </c>
    </row>
    <row r="509" spans="1:10" ht="14.1" customHeight="1" x14ac:dyDescent="0.15">
      <c r="A509" s="221"/>
      <c r="B509" s="221"/>
      <c r="C509" s="221"/>
      <c r="D509" s="210" t="s">
        <v>74</v>
      </c>
      <c r="E509" s="212">
        <v>1</v>
      </c>
      <c r="F509" s="212">
        <v>11461</v>
      </c>
      <c r="G509" s="212">
        <v>11461</v>
      </c>
      <c r="H509" s="212">
        <v>2346</v>
      </c>
      <c r="I509" s="212">
        <v>2346</v>
      </c>
      <c r="J509" s="212">
        <v>9115</v>
      </c>
    </row>
    <row r="510" spans="1:10" ht="14.1" customHeight="1" x14ac:dyDescent="0.15">
      <c r="A510" s="221"/>
      <c r="B510" s="221"/>
      <c r="C510" s="221"/>
      <c r="D510" s="210" t="s">
        <v>71</v>
      </c>
      <c r="E510" s="212">
        <v>13</v>
      </c>
      <c r="F510" s="212">
        <v>8249</v>
      </c>
      <c r="G510" s="212">
        <v>107237</v>
      </c>
      <c r="H510" s="212">
        <v>2346</v>
      </c>
      <c r="I510" s="212">
        <v>30498</v>
      </c>
      <c r="J510" s="212">
        <v>76739</v>
      </c>
    </row>
    <row r="511" spans="1:10" ht="29.1" customHeight="1" x14ac:dyDescent="0.15">
      <c r="A511" s="221"/>
      <c r="B511" s="221"/>
      <c r="C511" s="222" t="s">
        <v>160</v>
      </c>
      <c r="D511" s="210" t="s">
        <v>79</v>
      </c>
      <c r="E511" s="212">
        <v>17</v>
      </c>
      <c r="F511" s="212">
        <v>28278</v>
      </c>
      <c r="G511" s="212">
        <v>480726</v>
      </c>
      <c r="H511" s="212">
        <v>2292</v>
      </c>
      <c r="I511" s="212">
        <v>38964</v>
      </c>
      <c r="J511" s="212">
        <v>441762</v>
      </c>
    </row>
    <row r="512" spans="1:10" ht="14.1" customHeight="1" x14ac:dyDescent="0.15">
      <c r="A512" s="221"/>
      <c r="B512" s="221"/>
      <c r="C512" s="221"/>
      <c r="D512" s="210" t="s">
        <v>73</v>
      </c>
      <c r="E512" s="212">
        <v>31</v>
      </c>
      <c r="F512" s="212">
        <v>14494</v>
      </c>
      <c r="G512" s="212">
        <v>449314</v>
      </c>
      <c r="H512" s="212">
        <v>2292</v>
      </c>
      <c r="I512" s="212">
        <v>71052</v>
      </c>
      <c r="J512" s="212">
        <v>378262</v>
      </c>
    </row>
    <row r="513" spans="1:10" ht="14.1" customHeight="1" x14ac:dyDescent="0.15">
      <c r="A513" s="221"/>
      <c r="B513" s="221"/>
      <c r="C513" s="221"/>
      <c r="D513" s="210" t="s">
        <v>74</v>
      </c>
      <c r="E513" s="212">
        <v>45</v>
      </c>
      <c r="F513" s="212">
        <v>11407</v>
      </c>
      <c r="G513" s="212">
        <v>513315</v>
      </c>
      <c r="H513" s="212">
        <v>2292</v>
      </c>
      <c r="I513" s="212">
        <v>103140</v>
      </c>
      <c r="J513" s="212">
        <v>410175</v>
      </c>
    </row>
    <row r="514" spans="1:10" ht="14.1" customHeight="1" x14ac:dyDescent="0.15">
      <c r="A514" s="221"/>
      <c r="B514" s="221"/>
      <c r="C514" s="221"/>
      <c r="D514" s="210" t="s">
        <v>71</v>
      </c>
      <c r="E514" s="212">
        <v>3</v>
      </c>
      <c r="F514" s="212">
        <v>8195</v>
      </c>
      <c r="G514" s="212">
        <v>24585</v>
      </c>
      <c r="H514" s="212">
        <v>2292</v>
      </c>
      <c r="I514" s="212">
        <v>6876</v>
      </c>
      <c r="J514" s="212">
        <v>17709</v>
      </c>
    </row>
    <row r="515" spans="1:10" ht="14.1" customHeight="1" x14ac:dyDescent="0.15">
      <c r="A515" s="221"/>
      <c r="B515" s="221"/>
      <c r="C515" s="221"/>
      <c r="D515" s="210" t="s">
        <v>72</v>
      </c>
      <c r="E515" s="212">
        <v>1</v>
      </c>
      <c r="F515" s="212">
        <v>5618</v>
      </c>
      <c r="G515" s="212">
        <v>5618</v>
      </c>
      <c r="H515" s="212">
        <v>2292</v>
      </c>
      <c r="I515" s="212">
        <v>2292</v>
      </c>
      <c r="J515" s="212">
        <v>3326</v>
      </c>
    </row>
    <row r="516" spans="1:10" ht="29.1" customHeight="1" x14ac:dyDescent="0.15">
      <c r="A516" s="221"/>
      <c r="B516" s="221"/>
      <c r="C516" s="222" t="s">
        <v>161</v>
      </c>
      <c r="D516" s="210" t="s">
        <v>88</v>
      </c>
      <c r="E516" s="212">
        <v>16</v>
      </c>
      <c r="F516" s="212">
        <v>61914</v>
      </c>
      <c r="G516" s="212">
        <v>990624</v>
      </c>
      <c r="H516" s="212">
        <v>1627</v>
      </c>
      <c r="I516" s="212">
        <v>26032</v>
      </c>
      <c r="J516" s="212">
        <v>964592</v>
      </c>
    </row>
    <row r="517" spans="1:10" ht="14.1" customHeight="1" x14ac:dyDescent="0.15">
      <c r="A517" s="221"/>
      <c r="B517" s="221"/>
      <c r="C517" s="221"/>
      <c r="D517" s="210" t="s">
        <v>101</v>
      </c>
      <c r="E517" s="212">
        <v>245</v>
      </c>
      <c r="F517" s="212">
        <v>45688</v>
      </c>
      <c r="G517" s="212">
        <v>11193560</v>
      </c>
      <c r="H517" s="212">
        <v>1627</v>
      </c>
      <c r="I517" s="212">
        <v>398615</v>
      </c>
      <c r="J517" s="212">
        <v>10794945</v>
      </c>
    </row>
    <row r="518" spans="1:10" ht="14.1" customHeight="1" x14ac:dyDescent="0.15">
      <c r="A518" s="221"/>
      <c r="B518" s="221"/>
      <c r="C518" s="221"/>
      <c r="D518" s="210" t="s">
        <v>79</v>
      </c>
      <c r="E518" s="212">
        <v>3135</v>
      </c>
      <c r="F518" s="212">
        <v>27613</v>
      </c>
      <c r="G518" s="212">
        <v>86566755</v>
      </c>
      <c r="H518" s="212">
        <v>1627</v>
      </c>
      <c r="I518" s="212">
        <v>5100645</v>
      </c>
      <c r="J518" s="212">
        <v>81466110</v>
      </c>
    </row>
    <row r="519" spans="1:10" ht="14.1" customHeight="1" x14ac:dyDescent="0.15">
      <c r="A519" s="221"/>
      <c r="B519" s="221"/>
      <c r="C519" s="221"/>
      <c r="D519" s="210" t="s">
        <v>73</v>
      </c>
      <c r="E519" s="212">
        <v>5181</v>
      </c>
      <c r="F519" s="212">
        <v>13829</v>
      </c>
      <c r="G519" s="212">
        <v>71648768</v>
      </c>
      <c r="H519" s="212">
        <v>1627</v>
      </c>
      <c r="I519" s="212">
        <v>8429487</v>
      </c>
      <c r="J519" s="212">
        <v>63219281</v>
      </c>
    </row>
    <row r="520" spans="1:10" ht="14.1" customHeight="1" x14ac:dyDescent="0.15">
      <c r="A520" s="221"/>
      <c r="B520" s="221"/>
      <c r="C520" s="221"/>
      <c r="D520" s="210" t="s">
        <v>74</v>
      </c>
      <c r="E520" s="212">
        <v>6804</v>
      </c>
      <c r="F520" s="212">
        <v>10742</v>
      </c>
      <c r="G520" s="212">
        <v>73088568</v>
      </c>
      <c r="H520" s="212">
        <v>1627</v>
      </c>
      <c r="I520" s="212">
        <v>11070108</v>
      </c>
      <c r="J520" s="212">
        <v>62018460</v>
      </c>
    </row>
    <row r="521" spans="1:10" ht="14.1" customHeight="1" x14ac:dyDescent="0.15">
      <c r="A521" s="221"/>
      <c r="B521" s="221"/>
      <c r="C521" s="221"/>
      <c r="D521" s="210" t="s">
        <v>71</v>
      </c>
      <c r="E521" s="212">
        <v>9971</v>
      </c>
      <c r="F521" s="212">
        <v>7530</v>
      </c>
      <c r="G521" s="212">
        <v>75081630</v>
      </c>
      <c r="H521" s="212">
        <v>1627</v>
      </c>
      <c r="I521" s="212">
        <v>16222817</v>
      </c>
      <c r="J521" s="212">
        <v>58858813</v>
      </c>
    </row>
    <row r="522" spans="1:10" ht="14.1" customHeight="1" x14ac:dyDescent="0.15">
      <c r="A522" s="221"/>
      <c r="B522" s="221"/>
      <c r="C522" s="221"/>
      <c r="D522" s="210" t="s">
        <v>72</v>
      </c>
      <c r="E522" s="212">
        <v>1126</v>
      </c>
      <c r="F522" s="212">
        <v>4953</v>
      </c>
      <c r="G522" s="212">
        <v>5577078</v>
      </c>
      <c r="H522" s="212">
        <v>1627</v>
      </c>
      <c r="I522" s="212">
        <v>1832002</v>
      </c>
      <c r="J522" s="212">
        <v>3745076</v>
      </c>
    </row>
    <row r="523" spans="1:10" ht="14.1" customHeight="1" x14ac:dyDescent="0.15">
      <c r="A523" s="221"/>
      <c r="B523" s="221"/>
      <c r="C523" s="221"/>
      <c r="D523" s="210" t="s">
        <v>82</v>
      </c>
      <c r="E523" s="212">
        <v>434</v>
      </c>
      <c r="F523" s="212">
        <v>3112</v>
      </c>
      <c r="G523" s="212">
        <v>1350608</v>
      </c>
      <c r="H523" s="212">
        <v>1627</v>
      </c>
      <c r="I523" s="212">
        <v>706118</v>
      </c>
      <c r="J523" s="212">
        <v>644490</v>
      </c>
    </row>
    <row r="524" spans="1:10" ht="14.1" customHeight="1" x14ac:dyDescent="0.15">
      <c r="A524" s="221"/>
      <c r="B524" s="221"/>
      <c r="C524" s="221"/>
      <c r="D524" s="210" t="s">
        <v>75</v>
      </c>
      <c r="E524" s="212">
        <v>849</v>
      </c>
      <c r="F524" s="212">
        <v>1907</v>
      </c>
      <c r="G524" s="212">
        <v>1619043</v>
      </c>
      <c r="H524" s="212">
        <v>1627</v>
      </c>
      <c r="I524" s="212">
        <v>1381323</v>
      </c>
      <c r="J524" s="212">
        <v>237720</v>
      </c>
    </row>
    <row r="525" spans="1:10" ht="14.1" customHeight="1" x14ac:dyDescent="0.15">
      <c r="A525" s="221" t="s">
        <v>34</v>
      </c>
      <c r="B525" s="221" t="s">
        <v>53</v>
      </c>
      <c r="C525" s="221"/>
      <c r="D525" s="221"/>
      <c r="E525" s="212">
        <v>9274</v>
      </c>
      <c r="F525" s="212">
        <v>571842</v>
      </c>
      <c r="G525" s="212">
        <v>98562346</v>
      </c>
      <c r="H525" s="212"/>
      <c r="I525" s="212">
        <v>10913065</v>
      </c>
      <c r="J525" s="212">
        <v>87649281</v>
      </c>
    </row>
    <row r="526" spans="1:10" ht="14.1" customHeight="1" x14ac:dyDescent="0.15">
      <c r="A526" s="221"/>
      <c r="B526" s="210" t="s">
        <v>63</v>
      </c>
      <c r="C526" s="210" t="s">
        <v>64</v>
      </c>
      <c r="D526" s="210" t="s">
        <v>65</v>
      </c>
      <c r="E526" s="218">
        <v>3</v>
      </c>
      <c r="F526" s="218">
        <v>10139</v>
      </c>
      <c r="G526" s="218">
        <v>30417</v>
      </c>
      <c r="H526" s="218">
        <v>0</v>
      </c>
      <c r="I526" s="218">
        <v>0</v>
      </c>
      <c r="J526" s="218">
        <v>30417</v>
      </c>
    </row>
    <row r="527" spans="1:10" ht="14.1" customHeight="1" x14ac:dyDescent="0.15">
      <c r="A527" s="221"/>
      <c r="B527" s="220" t="s">
        <v>66</v>
      </c>
      <c r="C527" s="223" t="s">
        <v>67</v>
      </c>
      <c r="D527" s="210" t="s">
        <v>134</v>
      </c>
      <c r="E527" s="219"/>
      <c r="F527" s="219"/>
      <c r="G527" s="219"/>
      <c r="H527" s="219"/>
      <c r="I527" s="219"/>
      <c r="J527" s="219"/>
    </row>
    <row r="528" spans="1:10" ht="14.1" customHeight="1" x14ac:dyDescent="0.15">
      <c r="A528" s="221"/>
      <c r="B528" s="221"/>
      <c r="C528" s="221"/>
      <c r="D528" s="210" t="s">
        <v>132</v>
      </c>
      <c r="E528" s="212">
        <v>15</v>
      </c>
      <c r="F528" s="212">
        <v>10139</v>
      </c>
      <c r="G528" s="212">
        <v>152085</v>
      </c>
      <c r="H528" s="212">
        <v>0</v>
      </c>
      <c r="I528" s="212">
        <v>0</v>
      </c>
      <c r="J528" s="212">
        <v>152085</v>
      </c>
    </row>
    <row r="529" spans="1:10" ht="29.1" customHeight="1" x14ac:dyDescent="0.15">
      <c r="A529" s="221"/>
      <c r="B529" s="221"/>
      <c r="C529" s="209" t="s">
        <v>159</v>
      </c>
      <c r="D529" s="210" t="s">
        <v>133</v>
      </c>
      <c r="E529" s="212">
        <v>7</v>
      </c>
      <c r="F529" s="212">
        <v>11560</v>
      </c>
      <c r="G529" s="212">
        <v>80920</v>
      </c>
      <c r="H529" s="212">
        <v>2346</v>
      </c>
      <c r="I529" s="212">
        <v>16422</v>
      </c>
      <c r="J529" s="212">
        <v>64498</v>
      </c>
    </row>
    <row r="530" spans="1:10" ht="29.1" customHeight="1" x14ac:dyDescent="0.15">
      <c r="A530" s="221"/>
      <c r="B530" s="221"/>
      <c r="C530" s="209" t="s">
        <v>161</v>
      </c>
      <c r="D530" s="210" t="s">
        <v>133</v>
      </c>
      <c r="E530" s="212">
        <v>729</v>
      </c>
      <c r="F530" s="212">
        <v>10841</v>
      </c>
      <c r="G530" s="212">
        <v>7903089</v>
      </c>
      <c r="H530" s="212">
        <v>1627</v>
      </c>
      <c r="I530" s="212">
        <v>1186083</v>
      </c>
      <c r="J530" s="212">
        <v>6717006</v>
      </c>
    </row>
    <row r="531" spans="1:10" ht="14.1" customHeight="1" x14ac:dyDescent="0.15">
      <c r="A531" s="221"/>
      <c r="B531" s="220" t="s">
        <v>76</v>
      </c>
      <c r="C531" s="223" t="s">
        <v>67</v>
      </c>
      <c r="D531" s="210" t="s">
        <v>77</v>
      </c>
      <c r="E531" s="212">
        <v>6</v>
      </c>
      <c r="F531" s="212">
        <v>6828</v>
      </c>
      <c r="G531" s="212">
        <v>40968</v>
      </c>
      <c r="H531" s="212">
        <v>0</v>
      </c>
      <c r="I531" s="212">
        <v>0</v>
      </c>
      <c r="J531" s="212">
        <v>40968</v>
      </c>
    </row>
    <row r="532" spans="1:10" ht="14.1" customHeight="1" x14ac:dyDescent="0.15">
      <c r="A532" s="221"/>
      <c r="B532" s="221"/>
      <c r="C532" s="221"/>
      <c r="D532" s="210" t="s">
        <v>135</v>
      </c>
      <c r="E532" s="212">
        <v>1</v>
      </c>
      <c r="F532" s="212">
        <v>6949</v>
      </c>
      <c r="G532" s="212">
        <v>6949</v>
      </c>
      <c r="H532" s="212">
        <v>0</v>
      </c>
      <c r="I532" s="212">
        <v>0</v>
      </c>
      <c r="J532" s="212">
        <v>6949</v>
      </c>
    </row>
    <row r="533" spans="1:10" ht="29.1" customHeight="1" x14ac:dyDescent="0.15">
      <c r="A533" s="221"/>
      <c r="B533" s="221"/>
      <c r="C533" s="209" t="s">
        <v>159</v>
      </c>
      <c r="D533" s="210" t="s">
        <v>91</v>
      </c>
      <c r="E533" s="212">
        <v>38</v>
      </c>
      <c r="F533" s="212">
        <v>8370</v>
      </c>
      <c r="G533" s="212">
        <v>318060</v>
      </c>
      <c r="H533" s="212">
        <v>1421</v>
      </c>
      <c r="I533" s="212">
        <v>53998</v>
      </c>
      <c r="J533" s="212">
        <v>264062</v>
      </c>
    </row>
    <row r="534" spans="1:10" ht="29.1" customHeight="1" x14ac:dyDescent="0.15">
      <c r="A534" s="221"/>
      <c r="B534" s="221"/>
      <c r="C534" s="222" t="s">
        <v>161</v>
      </c>
      <c r="D534" s="210" t="s">
        <v>87</v>
      </c>
      <c r="E534" s="212">
        <v>2</v>
      </c>
      <c r="F534" s="212">
        <v>13362</v>
      </c>
      <c r="G534" s="212">
        <v>26724</v>
      </c>
      <c r="H534" s="212">
        <v>6286</v>
      </c>
      <c r="I534" s="212">
        <v>12572</v>
      </c>
      <c r="J534" s="212">
        <v>14152</v>
      </c>
    </row>
    <row r="535" spans="1:10" ht="14.1" customHeight="1" x14ac:dyDescent="0.15">
      <c r="A535" s="221"/>
      <c r="B535" s="221"/>
      <c r="C535" s="221"/>
      <c r="D535" s="210" t="s">
        <v>71</v>
      </c>
      <c r="E535" s="212">
        <v>1917</v>
      </c>
      <c r="F535" s="212">
        <v>7530</v>
      </c>
      <c r="G535" s="212">
        <v>14435010</v>
      </c>
      <c r="H535" s="212">
        <v>702</v>
      </c>
      <c r="I535" s="212">
        <v>1345734</v>
      </c>
      <c r="J535" s="212">
        <v>13089276</v>
      </c>
    </row>
    <row r="536" spans="1:10" ht="14.1" customHeight="1" x14ac:dyDescent="0.15">
      <c r="A536" s="221"/>
      <c r="B536" s="221"/>
      <c r="C536" s="221"/>
      <c r="D536" s="210" t="s">
        <v>91</v>
      </c>
      <c r="E536" s="212">
        <v>476</v>
      </c>
      <c r="F536" s="212">
        <v>7651</v>
      </c>
      <c r="G536" s="212">
        <v>3641876</v>
      </c>
      <c r="H536" s="212">
        <v>702</v>
      </c>
      <c r="I536" s="212">
        <v>334152</v>
      </c>
      <c r="J536" s="212">
        <v>3307724</v>
      </c>
    </row>
    <row r="537" spans="1:10" ht="29.1" customHeight="1" x14ac:dyDescent="0.15">
      <c r="A537" s="221"/>
      <c r="B537" s="222" t="s">
        <v>167</v>
      </c>
      <c r="C537" s="223" t="s">
        <v>67</v>
      </c>
      <c r="D537" s="210" t="s">
        <v>85</v>
      </c>
      <c r="E537" s="212">
        <v>1</v>
      </c>
      <c r="F537" s="212">
        <v>26911</v>
      </c>
      <c r="G537" s="212">
        <v>26911</v>
      </c>
      <c r="H537" s="212">
        <v>0</v>
      </c>
      <c r="I537" s="212">
        <v>0</v>
      </c>
      <c r="J537" s="212">
        <v>26911</v>
      </c>
    </row>
    <row r="538" spans="1:10" ht="14.1" customHeight="1" x14ac:dyDescent="0.15">
      <c r="A538" s="221"/>
      <c r="B538" s="221"/>
      <c r="C538" s="221"/>
      <c r="D538" s="210" t="s">
        <v>78</v>
      </c>
      <c r="E538" s="212">
        <v>2</v>
      </c>
      <c r="F538" s="212">
        <v>13127</v>
      </c>
      <c r="G538" s="212">
        <v>26254</v>
      </c>
      <c r="H538" s="212">
        <v>0</v>
      </c>
      <c r="I538" s="212">
        <v>0</v>
      </c>
      <c r="J538" s="212">
        <v>26254</v>
      </c>
    </row>
    <row r="539" spans="1:10" ht="14.1" customHeight="1" x14ac:dyDescent="0.15">
      <c r="A539" s="221"/>
      <c r="B539" s="221"/>
      <c r="C539" s="221"/>
      <c r="D539" s="210" t="s">
        <v>136</v>
      </c>
      <c r="E539" s="212">
        <v>4</v>
      </c>
      <c r="F539" s="212">
        <v>6828</v>
      </c>
      <c r="G539" s="212">
        <v>27312</v>
      </c>
      <c r="H539" s="212">
        <v>0</v>
      </c>
      <c r="I539" s="212">
        <v>0</v>
      </c>
      <c r="J539" s="212">
        <v>27312</v>
      </c>
    </row>
    <row r="540" spans="1:10" ht="14.1" customHeight="1" x14ac:dyDescent="0.15">
      <c r="A540" s="221"/>
      <c r="B540" s="221"/>
      <c r="C540" s="221"/>
      <c r="D540" s="210" t="s">
        <v>77</v>
      </c>
      <c r="E540" s="212">
        <v>47</v>
      </c>
      <c r="F540" s="212">
        <v>6828</v>
      </c>
      <c r="G540" s="212">
        <v>320916</v>
      </c>
      <c r="H540" s="212">
        <v>0</v>
      </c>
      <c r="I540" s="212">
        <v>0</v>
      </c>
      <c r="J540" s="212">
        <v>320916</v>
      </c>
    </row>
    <row r="541" spans="1:10" ht="14.1" customHeight="1" x14ac:dyDescent="0.15">
      <c r="A541" s="221"/>
      <c r="B541" s="221"/>
      <c r="C541" s="221"/>
      <c r="D541" s="210" t="s">
        <v>86</v>
      </c>
      <c r="E541" s="212">
        <v>1</v>
      </c>
      <c r="F541" s="212">
        <v>4251</v>
      </c>
      <c r="G541" s="212">
        <v>4251</v>
      </c>
      <c r="H541" s="212">
        <v>0</v>
      </c>
      <c r="I541" s="212">
        <v>0</v>
      </c>
      <c r="J541" s="212">
        <v>4251</v>
      </c>
    </row>
    <row r="542" spans="1:10" ht="14.1" customHeight="1" x14ac:dyDescent="0.15">
      <c r="A542" s="221"/>
      <c r="B542" s="221"/>
      <c r="C542" s="221"/>
      <c r="D542" s="210" t="s">
        <v>137</v>
      </c>
      <c r="E542" s="212">
        <v>1</v>
      </c>
      <c r="F542" s="212">
        <v>4097</v>
      </c>
      <c r="G542" s="212">
        <v>4097</v>
      </c>
      <c r="H542" s="212">
        <v>0</v>
      </c>
      <c r="I542" s="212">
        <v>0</v>
      </c>
      <c r="J542" s="212">
        <v>4097</v>
      </c>
    </row>
    <row r="543" spans="1:10" ht="14.1" customHeight="1" x14ac:dyDescent="0.15">
      <c r="A543" s="221"/>
      <c r="B543" s="221"/>
      <c r="C543" s="221"/>
      <c r="D543" s="210" t="s">
        <v>138</v>
      </c>
      <c r="E543" s="212">
        <v>43</v>
      </c>
      <c r="F543" s="212">
        <v>5103</v>
      </c>
      <c r="G543" s="212">
        <v>219429</v>
      </c>
      <c r="H543" s="212">
        <v>0</v>
      </c>
      <c r="I543" s="212">
        <v>0</v>
      </c>
      <c r="J543" s="212">
        <v>219429</v>
      </c>
    </row>
    <row r="544" spans="1:10" ht="29.1" customHeight="1" x14ac:dyDescent="0.15">
      <c r="A544" s="221"/>
      <c r="B544" s="221"/>
      <c r="C544" s="222" t="s">
        <v>159</v>
      </c>
      <c r="D544" s="210" t="s">
        <v>79</v>
      </c>
      <c r="E544" s="212">
        <v>39</v>
      </c>
      <c r="F544" s="212">
        <v>28332</v>
      </c>
      <c r="G544" s="212">
        <v>1104948</v>
      </c>
      <c r="H544" s="212">
        <v>1421</v>
      </c>
      <c r="I544" s="212">
        <v>55419</v>
      </c>
      <c r="J544" s="212">
        <v>1049529</v>
      </c>
    </row>
    <row r="545" spans="1:10" ht="14.1" customHeight="1" x14ac:dyDescent="0.15">
      <c r="A545" s="221"/>
      <c r="B545" s="221"/>
      <c r="C545" s="221"/>
      <c r="D545" s="210" t="s">
        <v>73</v>
      </c>
      <c r="E545" s="212">
        <v>1</v>
      </c>
      <c r="F545" s="212">
        <v>14548</v>
      </c>
      <c r="G545" s="212">
        <v>14548</v>
      </c>
      <c r="H545" s="212">
        <v>1421</v>
      </c>
      <c r="I545" s="212">
        <v>1421</v>
      </c>
      <c r="J545" s="212">
        <v>13127</v>
      </c>
    </row>
    <row r="546" spans="1:10" ht="14.1" customHeight="1" x14ac:dyDescent="0.15">
      <c r="A546" s="221"/>
      <c r="B546" s="221"/>
      <c r="C546" s="221"/>
      <c r="D546" s="210" t="s">
        <v>74</v>
      </c>
      <c r="E546" s="212">
        <v>1</v>
      </c>
      <c r="F546" s="212">
        <v>11461</v>
      </c>
      <c r="G546" s="212">
        <v>11461</v>
      </c>
      <c r="H546" s="212">
        <v>1421</v>
      </c>
      <c r="I546" s="212">
        <v>1421</v>
      </c>
      <c r="J546" s="212">
        <v>10040</v>
      </c>
    </row>
    <row r="547" spans="1:10" ht="14.1" customHeight="1" x14ac:dyDescent="0.15">
      <c r="A547" s="221"/>
      <c r="B547" s="221"/>
      <c r="C547" s="221"/>
      <c r="D547" s="210" t="s">
        <v>139</v>
      </c>
      <c r="E547" s="212">
        <v>2</v>
      </c>
      <c r="F547" s="212">
        <v>5518</v>
      </c>
      <c r="G547" s="212">
        <v>11036</v>
      </c>
      <c r="H547" s="212">
        <v>1421</v>
      </c>
      <c r="I547" s="212">
        <v>2842</v>
      </c>
      <c r="J547" s="212">
        <v>8194</v>
      </c>
    </row>
    <row r="548" spans="1:10" ht="29.1" customHeight="1" x14ac:dyDescent="0.15">
      <c r="A548" s="221"/>
      <c r="B548" s="221"/>
      <c r="C548" s="209" t="s">
        <v>160</v>
      </c>
      <c r="D548" s="210" t="s">
        <v>139</v>
      </c>
      <c r="E548" s="212">
        <v>1</v>
      </c>
      <c r="F548" s="212">
        <v>5464</v>
      </c>
      <c r="G548" s="212">
        <v>5464</v>
      </c>
      <c r="H548" s="212">
        <v>1367</v>
      </c>
      <c r="I548" s="212">
        <v>1367</v>
      </c>
      <c r="J548" s="212">
        <v>4097</v>
      </c>
    </row>
    <row r="549" spans="1:10" ht="29.1" customHeight="1" x14ac:dyDescent="0.15">
      <c r="A549" s="221"/>
      <c r="B549" s="221"/>
      <c r="C549" s="222" t="s">
        <v>161</v>
      </c>
      <c r="D549" s="210" t="s">
        <v>70</v>
      </c>
      <c r="E549" s="212">
        <v>1</v>
      </c>
      <c r="F549" s="212">
        <v>3267</v>
      </c>
      <c r="G549" s="212">
        <v>3267</v>
      </c>
      <c r="H549" s="212">
        <v>702</v>
      </c>
      <c r="I549" s="212">
        <v>702</v>
      </c>
      <c r="J549" s="212">
        <v>2565</v>
      </c>
    </row>
    <row r="550" spans="1:10" ht="14.1" customHeight="1" x14ac:dyDescent="0.15">
      <c r="A550" s="221"/>
      <c r="B550" s="221"/>
      <c r="C550" s="221"/>
      <c r="D550" s="210" t="s">
        <v>79</v>
      </c>
      <c r="E550" s="212">
        <v>502</v>
      </c>
      <c r="F550" s="212">
        <v>27613</v>
      </c>
      <c r="G550" s="212">
        <v>13861726</v>
      </c>
      <c r="H550" s="212">
        <v>702</v>
      </c>
      <c r="I550" s="212">
        <v>352404</v>
      </c>
      <c r="J550" s="212">
        <v>13509322</v>
      </c>
    </row>
    <row r="551" spans="1:10" ht="14.1" customHeight="1" x14ac:dyDescent="0.15">
      <c r="A551" s="221"/>
      <c r="B551" s="221"/>
      <c r="C551" s="221"/>
      <c r="D551" s="210" t="s">
        <v>73</v>
      </c>
      <c r="E551" s="212">
        <v>522</v>
      </c>
      <c r="F551" s="212">
        <v>13829</v>
      </c>
      <c r="G551" s="212">
        <v>7218738</v>
      </c>
      <c r="H551" s="212">
        <v>702</v>
      </c>
      <c r="I551" s="212">
        <v>366444</v>
      </c>
      <c r="J551" s="212">
        <v>6852294</v>
      </c>
    </row>
    <row r="552" spans="1:10" ht="14.1" customHeight="1" x14ac:dyDescent="0.15">
      <c r="A552" s="221"/>
      <c r="B552" s="221"/>
      <c r="C552" s="221"/>
      <c r="D552" s="210" t="s">
        <v>74</v>
      </c>
      <c r="E552" s="212">
        <v>80</v>
      </c>
      <c r="F552" s="212">
        <v>10742</v>
      </c>
      <c r="G552" s="212">
        <v>859360</v>
      </c>
      <c r="H552" s="212">
        <v>702</v>
      </c>
      <c r="I552" s="212">
        <v>56160</v>
      </c>
      <c r="J552" s="212">
        <v>803200</v>
      </c>
    </row>
    <row r="553" spans="1:10" ht="14.1" customHeight="1" x14ac:dyDescent="0.15">
      <c r="A553" s="221"/>
      <c r="B553" s="221"/>
      <c r="C553" s="221"/>
      <c r="D553" s="210" t="s">
        <v>71</v>
      </c>
      <c r="E553" s="212">
        <v>382</v>
      </c>
      <c r="F553" s="212">
        <v>7532</v>
      </c>
      <c r="G553" s="212">
        <v>2877179</v>
      </c>
      <c r="H553" s="212">
        <v>702</v>
      </c>
      <c r="I553" s="212">
        <v>268164</v>
      </c>
      <c r="J553" s="212">
        <v>2609015</v>
      </c>
    </row>
    <row r="554" spans="1:10" ht="14.1" customHeight="1" x14ac:dyDescent="0.15">
      <c r="A554" s="221"/>
      <c r="B554" s="221"/>
      <c r="C554" s="221"/>
      <c r="D554" s="210" t="s">
        <v>72</v>
      </c>
      <c r="E554" s="212">
        <v>1</v>
      </c>
      <c r="F554" s="212">
        <v>4953</v>
      </c>
      <c r="G554" s="212">
        <v>4953</v>
      </c>
      <c r="H554" s="212">
        <v>702</v>
      </c>
      <c r="I554" s="212">
        <v>702</v>
      </c>
      <c r="J554" s="212">
        <v>4251</v>
      </c>
    </row>
    <row r="555" spans="1:10" ht="14.1" customHeight="1" x14ac:dyDescent="0.15">
      <c r="A555" s="221"/>
      <c r="B555" s="221"/>
      <c r="C555" s="221"/>
      <c r="D555" s="210" t="s">
        <v>82</v>
      </c>
      <c r="E555" s="212">
        <v>23</v>
      </c>
      <c r="F555" s="212">
        <v>3112</v>
      </c>
      <c r="G555" s="212">
        <v>71576</v>
      </c>
      <c r="H555" s="212">
        <v>702</v>
      </c>
      <c r="I555" s="212">
        <v>16146</v>
      </c>
      <c r="J555" s="212">
        <v>55430</v>
      </c>
    </row>
    <row r="556" spans="1:10" ht="14.1" customHeight="1" x14ac:dyDescent="0.15">
      <c r="A556" s="221"/>
      <c r="B556" s="221"/>
      <c r="C556" s="221"/>
      <c r="D556" s="210" t="s">
        <v>75</v>
      </c>
      <c r="E556" s="212">
        <v>7</v>
      </c>
      <c r="F556" s="212">
        <v>1907</v>
      </c>
      <c r="G556" s="212">
        <v>13349</v>
      </c>
      <c r="H556" s="212">
        <v>702</v>
      </c>
      <c r="I556" s="212">
        <v>4914</v>
      </c>
      <c r="J556" s="212">
        <v>8435</v>
      </c>
    </row>
    <row r="557" spans="1:10" ht="14.1" customHeight="1" x14ac:dyDescent="0.15">
      <c r="A557" s="221"/>
      <c r="B557" s="221"/>
      <c r="C557" s="221"/>
      <c r="D557" s="210" t="s">
        <v>139</v>
      </c>
      <c r="E557" s="212">
        <v>291</v>
      </c>
      <c r="F557" s="212">
        <v>4799</v>
      </c>
      <c r="G557" s="212">
        <v>1396509</v>
      </c>
      <c r="H557" s="212">
        <v>702</v>
      </c>
      <c r="I557" s="212">
        <v>204282</v>
      </c>
      <c r="J557" s="212">
        <v>1192227</v>
      </c>
    </row>
    <row r="558" spans="1:10" ht="14.1" customHeight="1" x14ac:dyDescent="0.15">
      <c r="A558" s="221"/>
      <c r="B558" s="221"/>
      <c r="C558" s="221"/>
      <c r="D558" s="210" t="s">
        <v>140</v>
      </c>
      <c r="E558" s="212">
        <v>18</v>
      </c>
      <c r="F558" s="212">
        <v>5805</v>
      </c>
      <c r="G558" s="212">
        <v>104490</v>
      </c>
      <c r="H558" s="212">
        <v>702</v>
      </c>
      <c r="I558" s="212">
        <v>12636</v>
      </c>
      <c r="J558" s="212">
        <v>91854</v>
      </c>
    </row>
    <row r="559" spans="1:10" ht="14.1" customHeight="1" x14ac:dyDescent="0.15">
      <c r="A559" s="221"/>
      <c r="B559" s="220" t="s">
        <v>168</v>
      </c>
      <c r="C559" s="223" t="s">
        <v>67</v>
      </c>
      <c r="D559" s="210" t="s">
        <v>85</v>
      </c>
      <c r="E559" s="212">
        <v>3</v>
      </c>
      <c r="F559" s="212">
        <v>26911</v>
      </c>
      <c r="G559" s="212">
        <v>80733</v>
      </c>
      <c r="H559" s="212">
        <v>925</v>
      </c>
      <c r="I559" s="212">
        <v>2775</v>
      </c>
      <c r="J559" s="212">
        <v>77958</v>
      </c>
    </row>
    <row r="560" spans="1:10" ht="14.1" customHeight="1" x14ac:dyDescent="0.15">
      <c r="A560" s="221"/>
      <c r="B560" s="221"/>
      <c r="C560" s="221"/>
      <c r="D560" s="210" t="s">
        <v>141</v>
      </c>
      <c r="E560" s="212">
        <v>5</v>
      </c>
      <c r="F560" s="212">
        <v>13127</v>
      </c>
      <c r="G560" s="212">
        <v>65635</v>
      </c>
      <c r="H560" s="212">
        <v>925</v>
      </c>
      <c r="I560" s="212">
        <v>4625</v>
      </c>
      <c r="J560" s="212">
        <v>61010</v>
      </c>
    </row>
    <row r="561" spans="1:10" ht="14.1" customHeight="1" x14ac:dyDescent="0.15">
      <c r="A561" s="221"/>
      <c r="B561" s="221"/>
      <c r="C561" s="221"/>
      <c r="D561" s="210" t="s">
        <v>78</v>
      </c>
      <c r="E561" s="212">
        <v>1</v>
      </c>
      <c r="F561" s="212">
        <v>13127</v>
      </c>
      <c r="G561" s="212">
        <v>13127</v>
      </c>
      <c r="H561" s="212">
        <v>925</v>
      </c>
      <c r="I561" s="212">
        <v>925</v>
      </c>
      <c r="J561" s="212">
        <v>12202</v>
      </c>
    </row>
    <row r="562" spans="1:10" ht="14.1" customHeight="1" x14ac:dyDescent="0.15">
      <c r="A562" s="221"/>
      <c r="B562" s="221"/>
      <c r="C562" s="221"/>
      <c r="D562" s="210" t="s">
        <v>146</v>
      </c>
      <c r="E562" s="212">
        <v>6</v>
      </c>
      <c r="F562" s="212">
        <v>10040</v>
      </c>
      <c r="G562" s="212">
        <v>60240</v>
      </c>
      <c r="H562" s="212">
        <v>925</v>
      </c>
      <c r="I562" s="212">
        <v>5550</v>
      </c>
      <c r="J562" s="212">
        <v>54690</v>
      </c>
    </row>
    <row r="563" spans="1:10" ht="14.1" customHeight="1" x14ac:dyDescent="0.15">
      <c r="A563" s="221"/>
      <c r="B563" s="221"/>
      <c r="C563" s="221"/>
      <c r="D563" s="210" t="s">
        <v>83</v>
      </c>
      <c r="E563" s="212">
        <v>2</v>
      </c>
      <c r="F563" s="212">
        <v>10040</v>
      </c>
      <c r="G563" s="212">
        <v>20080</v>
      </c>
      <c r="H563" s="212">
        <v>925</v>
      </c>
      <c r="I563" s="212">
        <v>1850</v>
      </c>
      <c r="J563" s="212">
        <v>18230</v>
      </c>
    </row>
    <row r="564" spans="1:10" ht="14.1" customHeight="1" x14ac:dyDescent="0.15">
      <c r="A564" s="221"/>
      <c r="B564" s="221"/>
      <c r="C564" s="221"/>
      <c r="D564" s="210" t="s">
        <v>136</v>
      </c>
      <c r="E564" s="212">
        <v>11</v>
      </c>
      <c r="F564" s="212">
        <v>6828</v>
      </c>
      <c r="G564" s="212">
        <v>75108</v>
      </c>
      <c r="H564" s="212">
        <v>925</v>
      </c>
      <c r="I564" s="212">
        <v>10175</v>
      </c>
      <c r="J564" s="212">
        <v>64933</v>
      </c>
    </row>
    <row r="565" spans="1:10" ht="14.1" customHeight="1" x14ac:dyDescent="0.15">
      <c r="A565" s="221"/>
      <c r="B565" s="221"/>
      <c r="C565" s="221"/>
      <c r="D565" s="210" t="s">
        <v>77</v>
      </c>
      <c r="E565" s="212">
        <v>81</v>
      </c>
      <c r="F565" s="212">
        <v>6828</v>
      </c>
      <c r="G565" s="212">
        <v>553068</v>
      </c>
      <c r="H565" s="212">
        <v>925</v>
      </c>
      <c r="I565" s="212">
        <v>74925</v>
      </c>
      <c r="J565" s="212">
        <v>478143</v>
      </c>
    </row>
    <row r="566" spans="1:10" ht="29.1" customHeight="1" x14ac:dyDescent="0.15">
      <c r="A566" s="221"/>
      <c r="B566" s="221"/>
      <c r="C566" s="222" t="s">
        <v>159</v>
      </c>
      <c r="D566" s="210" t="s">
        <v>79</v>
      </c>
      <c r="E566" s="212">
        <v>3</v>
      </c>
      <c r="F566" s="212">
        <v>28332</v>
      </c>
      <c r="G566" s="212">
        <v>84996</v>
      </c>
      <c r="H566" s="212">
        <v>2346</v>
      </c>
      <c r="I566" s="212">
        <v>7038</v>
      </c>
      <c r="J566" s="212">
        <v>77958</v>
      </c>
    </row>
    <row r="567" spans="1:10" ht="14.1" customHeight="1" x14ac:dyDescent="0.15">
      <c r="A567" s="221"/>
      <c r="B567" s="221"/>
      <c r="C567" s="221"/>
      <c r="D567" s="210" t="s">
        <v>74</v>
      </c>
      <c r="E567" s="212">
        <v>3</v>
      </c>
      <c r="F567" s="212">
        <v>11461</v>
      </c>
      <c r="G567" s="212">
        <v>34383</v>
      </c>
      <c r="H567" s="212">
        <v>2346</v>
      </c>
      <c r="I567" s="212">
        <v>7038</v>
      </c>
      <c r="J567" s="212">
        <v>27345</v>
      </c>
    </row>
    <row r="568" spans="1:10" ht="14.1" customHeight="1" x14ac:dyDescent="0.15">
      <c r="A568" s="221"/>
      <c r="B568" s="221"/>
      <c r="C568" s="221"/>
      <c r="D568" s="210" t="s">
        <v>71</v>
      </c>
      <c r="E568" s="212">
        <v>2</v>
      </c>
      <c r="F568" s="212">
        <v>8249</v>
      </c>
      <c r="G568" s="212">
        <v>16498</v>
      </c>
      <c r="H568" s="212">
        <v>2346</v>
      </c>
      <c r="I568" s="212">
        <v>4692</v>
      </c>
      <c r="J568" s="212">
        <v>11806</v>
      </c>
    </row>
    <row r="569" spans="1:10" ht="14.1" customHeight="1" x14ac:dyDescent="0.15">
      <c r="A569" s="221"/>
      <c r="B569" s="221"/>
      <c r="C569" s="221"/>
      <c r="D569" s="210" t="s">
        <v>72</v>
      </c>
      <c r="E569" s="212">
        <v>2</v>
      </c>
      <c r="F569" s="212">
        <v>5672</v>
      </c>
      <c r="G569" s="212">
        <v>11344</v>
      </c>
      <c r="H569" s="212">
        <v>2346</v>
      </c>
      <c r="I569" s="212">
        <v>4692</v>
      </c>
      <c r="J569" s="212">
        <v>6652</v>
      </c>
    </row>
    <row r="570" spans="1:10" ht="14.1" customHeight="1" x14ac:dyDescent="0.15">
      <c r="A570" s="221"/>
      <c r="B570" s="221"/>
      <c r="C570" s="221"/>
      <c r="D570" s="210" t="s">
        <v>82</v>
      </c>
      <c r="E570" s="212">
        <v>1</v>
      </c>
      <c r="F570" s="212">
        <v>3831</v>
      </c>
      <c r="G570" s="212">
        <v>3831</v>
      </c>
      <c r="H570" s="212">
        <v>2346</v>
      </c>
      <c r="I570" s="212">
        <v>2346</v>
      </c>
      <c r="J570" s="212">
        <v>1485</v>
      </c>
    </row>
    <row r="571" spans="1:10" ht="14.1" customHeight="1" x14ac:dyDescent="0.15">
      <c r="A571" s="221"/>
      <c r="B571" s="221"/>
      <c r="C571" s="221"/>
      <c r="D571" s="210" t="s">
        <v>75</v>
      </c>
      <c r="E571" s="212">
        <v>1</v>
      </c>
      <c r="F571" s="212">
        <v>2626</v>
      </c>
      <c r="G571" s="212">
        <v>2626</v>
      </c>
      <c r="H571" s="212">
        <v>2346</v>
      </c>
      <c r="I571" s="212">
        <v>2346</v>
      </c>
      <c r="J571" s="212">
        <v>280</v>
      </c>
    </row>
    <row r="572" spans="1:10" ht="29.1" customHeight="1" x14ac:dyDescent="0.15">
      <c r="A572" s="221"/>
      <c r="B572" s="221"/>
      <c r="C572" s="222" t="s">
        <v>161</v>
      </c>
      <c r="D572" s="210" t="s">
        <v>101</v>
      </c>
      <c r="E572" s="212">
        <v>38</v>
      </c>
      <c r="F572" s="212">
        <v>45688</v>
      </c>
      <c r="G572" s="212">
        <v>1736144</v>
      </c>
      <c r="H572" s="212">
        <v>1627</v>
      </c>
      <c r="I572" s="212">
        <v>61826</v>
      </c>
      <c r="J572" s="212">
        <v>1674318</v>
      </c>
    </row>
    <row r="573" spans="1:10" ht="14.1" customHeight="1" x14ac:dyDescent="0.15">
      <c r="A573" s="221"/>
      <c r="B573" s="221"/>
      <c r="C573" s="221"/>
      <c r="D573" s="210" t="s">
        <v>79</v>
      </c>
      <c r="E573" s="212">
        <v>369</v>
      </c>
      <c r="F573" s="212">
        <v>27613</v>
      </c>
      <c r="G573" s="212">
        <v>10189197</v>
      </c>
      <c r="H573" s="212">
        <v>1627</v>
      </c>
      <c r="I573" s="212">
        <v>600363</v>
      </c>
      <c r="J573" s="212">
        <v>9588834</v>
      </c>
    </row>
    <row r="574" spans="1:10" ht="14.1" customHeight="1" x14ac:dyDescent="0.15">
      <c r="A574" s="221"/>
      <c r="B574" s="221"/>
      <c r="C574" s="221"/>
      <c r="D574" s="210" t="s">
        <v>73</v>
      </c>
      <c r="E574" s="212">
        <v>500</v>
      </c>
      <c r="F574" s="212">
        <v>13829</v>
      </c>
      <c r="G574" s="212">
        <v>6914500</v>
      </c>
      <c r="H574" s="212">
        <v>1627</v>
      </c>
      <c r="I574" s="212">
        <v>813500</v>
      </c>
      <c r="J574" s="212">
        <v>6101000</v>
      </c>
    </row>
    <row r="575" spans="1:10" ht="14.1" customHeight="1" x14ac:dyDescent="0.15">
      <c r="A575" s="221"/>
      <c r="B575" s="221"/>
      <c r="C575" s="221"/>
      <c r="D575" s="210" t="s">
        <v>74</v>
      </c>
      <c r="E575" s="212">
        <v>728</v>
      </c>
      <c r="F575" s="212">
        <v>10742</v>
      </c>
      <c r="G575" s="212">
        <v>7820176</v>
      </c>
      <c r="H575" s="212">
        <v>1627</v>
      </c>
      <c r="I575" s="212">
        <v>1184456</v>
      </c>
      <c r="J575" s="212">
        <v>6635720</v>
      </c>
    </row>
    <row r="576" spans="1:10" ht="14.1" customHeight="1" x14ac:dyDescent="0.15">
      <c r="A576" s="221"/>
      <c r="B576" s="221"/>
      <c r="C576" s="221"/>
      <c r="D576" s="210" t="s">
        <v>71</v>
      </c>
      <c r="E576" s="212">
        <v>1984</v>
      </c>
      <c r="F576" s="212">
        <v>7530</v>
      </c>
      <c r="G576" s="212">
        <v>14939520</v>
      </c>
      <c r="H576" s="212">
        <v>1627</v>
      </c>
      <c r="I576" s="212">
        <v>3227968</v>
      </c>
      <c r="J576" s="212">
        <v>11711552</v>
      </c>
    </row>
    <row r="577" spans="1:10" ht="14.1" customHeight="1" x14ac:dyDescent="0.15">
      <c r="A577" s="221"/>
      <c r="B577" s="221"/>
      <c r="C577" s="221"/>
      <c r="D577" s="210" t="s">
        <v>72</v>
      </c>
      <c r="E577" s="212">
        <v>113</v>
      </c>
      <c r="F577" s="212">
        <v>4953</v>
      </c>
      <c r="G577" s="212">
        <v>559689</v>
      </c>
      <c r="H577" s="212">
        <v>1627</v>
      </c>
      <c r="I577" s="212">
        <v>183851</v>
      </c>
      <c r="J577" s="212">
        <v>375838</v>
      </c>
    </row>
    <row r="578" spans="1:10" ht="14.1" customHeight="1" x14ac:dyDescent="0.15">
      <c r="A578" s="221"/>
      <c r="B578" s="221"/>
      <c r="C578" s="221"/>
      <c r="D578" s="210" t="s">
        <v>82</v>
      </c>
      <c r="E578" s="212">
        <v>56</v>
      </c>
      <c r="F578" s="212">
        <v>3112</v>
      </c>
      <c r="G578" s="212">
        <v>174272</v>
      </c>
      <c r="H578" s="212">
        <v>1627</v>
      </c>
      <c r="I578" s="212">
        <v>91112</v>
      </c>
      <c r="J578" s="212">
        <v>83160</v>
      </c>
    </row>
    <row r="579" spans="1:10" ht="14.1" customHeight="1" x14ac:dyDescent="0.15">
      <c r="A579" s="221"/>
      <c r="B579" s="221"/>
      <c r="C579" s="221"/>
      <c r="D579" s="210" t="s">
        <v>75</v>
      </c>
      <c r="E579" s="212">
        <v>201</v>
      </c>
      <c r="F579" s="212">
        <v>1907</v>
      </c>
      <c r="G579" s="212">
        <v>383307</v>
      </c>
      <c r="H579" s="212">
        <v>1627</v>
      </c>
      <c r="I579" s="212">
        <v>327027</v>
      </c>
      <c r="J579" s="212">
        <v>56280</v>
      </c>
    </row>
    <row r="580" spans="1:10" ht="14.1" customHeight="1" x14ac:dyDescent="0.15">
      <c r="A580" s="221" t="s">
        <v>5</v>
      </c>
      <c r="B580" s="221" t="s">
        <v>53</v>
      </c>
      <c r="C580" s="221"/>
      <c r="D580" s="221"/>
      <c r="E580" s="212">
        <v>8847</v>
      </c>
      <c r="F580" s="212">
        <v>681462</v>
      </c>
      <c r="G580" s="212">
        <v>117977542</v>
      </c>
      <c r="H580" s="212"/>
      <c r="I580" s="212">
        <v>10476426</v>
      </c>
      <c r="J580" s="212">
        <v>107501116</v>
      </c>
    </row>
    <row r="581" spans="1:10" ht="14.1" customHeight="1" x14ac:dyDescent="0.15">
      <c r="A581" s="221"/>
      <c r="B581" s="210" t="s">
        <v>63</v>
      </c>
      <c r="C581" s="210" t="s">
        <v>64</v>
      </c>
      <c r="D581" s="210" t="s">
        <v>65</v>
      </c>
      <c r="E581" s="218">
        <v>6</v>
      </c>
      <c r="F581" s="218">
        <v>10139</v>
      </c>
      <c r="G581" s="218">
        <v>60834</v>
      </c>
      <c r="H581" s="218">
        <v>0</v>
      </c>
      <c r="I581" s="218">
        <v>0</v>
      </c>
      <c r="J581" s="218">
        <v>60834</v>
      </c>
    </row>
    <row r="582" spans="1:10" ht="14.1" customHeight="1" x14ac:dyDescent="0.15">
      <c r="A582" s="221"/>
      <c r="B582" s="220" t="s">
        <v>66</v>
      </c>
      <c r="C582" s="223" t="s">
        <v>67</v>
      </c>
      <c r="D582" s="210" t="s">
        <v>134</v>
      </c>
      <c r="E582" s="219"/>
      <c r="F582" s="219"/>
      <c r="G582" s="219"/>
      <c r="H582" s="219"/>
      <c r="I582" s="219"/>
      <c r="J582" s="219"/>
    </row>
    <row r="583" spans="1:10" ht="14.1" customHeight="1" x14ac:dyDescent="0.15">
      <c r="A583" s="221"/>
      <c r="B583" s="221"/>
      <c r="C583" s="221"/>
      <c r="D583" s="210" t="s">
        <v>132</v>
      </c>
      <c r="E583" s="212">
        <v>37</v>
      </c>
      <c r="F583" s="212">
        <v>10139</v>
      </c>
      <c r="G583" s="212">
        <v>375143</v>
      </c>
      <c r="H583" s="212">
        <v>0</v>
      </c>
      <c r="I583" s="212">
        <v>0</v>
      </c>
      <c r="J583" s="212">
        <v>375143</v>
      </c>
    </row>
    <row r="584" spans="1:10" ht="29.1" customHeight="1" x14ac:dyDescent="0.15">
      <c r="A584" s="221"/>
      <c r="B584" s="221"/>
      <c r="C584" s="209" t="s">
        <v>159</v>
      </c>
      <c r="D584" s="210" t="s">
        <v>133</v>
      </c>
      <c r="E584" s="212">
        <v>14</v>
      </c>
      <c r="F584" s="212">
        <v>11560</v>
      </c>
      <c r="G584" s="212">
        <v>161840</v>
      </c>
      <c r="H584" s="212">
        <v>2346</v>
      </c>
      <c r="I584" s="212">
        <v>32844</v>
      </c>
      <c r="J584" s="212">
        <v>128996</v>
      </c>
    </row>
    <row r="585" spans="1:10" ht="29.1" customHeight="1" x14ac:dyDescent="0.15">
      <c r="A585" s="221"/>
      <c r="B585" s="221"/>
      <c r="C585" s="209" t="s">
        <v>161</v>
      </c>
      <c r="D585" s="210" t="s">
        <v>133</v>
      </c>
      <c r="E585" s="212">
        <v>684</v>
      </c>
      <c r="F585" s="212">
        <v>10841</v>
      </c>
      <c r="G585" s="212">
        <v>7415244</v>
      </c>
      <c r="H585" s="212">
        <v>1627</v>
      </c>
      <c r="I585" s="212">
        <v>1112868</v>
      </c>
      <c r="J585" s="212">
        <v>6302376</v>
      </c>
    </row>
    <row r="586" spans="1:10" ht="29.1" customHeight="1" x14ac:dyDescent="0.15">
      <c r="A586" s="221"/>
      <c r="B586" s="222" t="s">
        <v>167</v>
      </c>
      <c r="C586" s="223" t="s">
        <v>67</v>
      </c>
      <c r="D586" s="210" t="s">
        <v>85</v>
      </c>
      <c r="E586" s="212">
        <v>5</v>
      </c>
      <c r="F586" s="212">
        <v>26911</v>
      </c>
      <c r="G586" s="212">
        <v>134555</v>
      </c>
      <c r="H586" s="212">
        <v>0</v>
      </c>
      <c r="I586" s="212">
        <v>0</v>
      </c>
      <c r="J586" s="212">
        <v>134555</v>
      </c>
    </row>
    <row r="587" spans="1:10" ht="14.1" customHeight="1" x14ac:dyDescent="0.15">
      <c r="A587" s="221"/>
      <c r="B587" s="221"/>
      <c r="C587" s="221"/>
      <c r="D587" s="210" t="s">
        <v>141</v>
      </c>
      <c r="E587" s="212">
        <v>2</v>
      </c>
      <c r="F587" s="212">
        <v>13127</v>
      </c>
      <c r="G587" s="212">
        <v>26254</v>
      </c>
      <c r="H587" s="212">
        <v>0</v>
      </c>
      <c r="I587" s="212">
        <v>0</v>
      </c>
      <c r="J587" s="212">
        <v>26254</v>
      </c>
    </row>
    <row r="588" spans="1:10" ht="14.1" customHeight="1" x14ac:dyDescent="0.15">
      <c r="A588" s="221"/>
      <c r="B588" s="221"/>
      <c r="C588" s="221"/>
      <c r="D588" s="210" t="s">
        <v>78</v>
      </c>
      <c r="E588" s="212">
        <v>6</v>
      </c>
      <c r="F588" s="212">
        <v>13127</v>
      </c>
      <c r="G588" s="212">
        <v>78762</v>
      </c>
      <c r="H588" s="212">
        <v>0</v>
      </c>
      <c r="I588" s="212">
        <v>0</v>
      </c>
      <c r="J588" s="212">
        <v>78762</v>
      </c>
    </row>
    <row r="589" spans="1:10" ht="14.1" customHeight="1" x14ac:dyDescent="0.15">
      <c r="A589" s="221"/>
      <c r="B589" s="221"/>
      <c r="C589" s="221"/>
      <c r="D589" s="210" t="s">
        <v>83</v>
      </c>
      <c r="E589" s="212">
        <v>3</v>
      </c>
      <c r="F589" s="212">
        <v>10040</v>
      </c>
      <c r="G589" s="212">
        <v>30120</v>
      </c>
      <c r="H589" s="212">
        <v>0</v>
      </c>
      <c r="I589" s="212">
        <v>0</v>
      </c>
      <c r="J589" s="212">
        <v>30120</v>
      </c>
    </row>
    <row r="590" spans="1:10" ht="14.1" customHeight="1" x14ac:dyDescent="0.15">
      <c r="A590" s="221"/>
      <c r="B590" s="221"/>
      <c r="C590" s="221"/>
      <c r="D590" s="210" t="s">
        <v>136</v>
      </c>
      <c r="E590" s="212">
        <v>2</v>
      </c>
      <c r="F590" s="212">
        <v>6828</v>
      </c>
      <c r="G590" s="212">
        <v>13656</v>
      </c>
      <c r="H590" s="212">
        <v>0</v>
      </c>
      <c r="I590" s="212">
        <v>0</v>
      </c>
      <c r="J590" s="212">
        <v>13656</v>
      </c>
    </row>
    <row r="591" spans="1:10" ht="14.1" customHeight="1" x14ac:dyDescent="0.15">
      <c r="A591" s="221"/>
      <c r="B591" s="221"/>
      <c r="C591" s="221"/>
      <c r="D591" s="210" t="s">
        <v>77</v>
      </c>
      <c r="E591" s="212">
        <v>8</v>
      </c>
      <c r="F591" s="212">
        <v>6828</v>
      </c>
      <c r="G591" s="212">
        <v>54624</v>
      </c>
      <c r="H591" s="212">
        <v>0</v>
      </c>
      <c r="I591" s="212">
        <v>0</v>
      </c>
      <c r="J591" s="212">
        <v>54624</v>
      </c>
    </row>
    <row r="592" spans="1:10" ht="14.1" customHeight="1" x14ac:dyDescent="0.15">
      <c r="A592" s="221"/>
      <c r="B592" s="221"/>
      <c r="C592" s="221"/>
      <c r="D592" s="210" t="s">
        <v>148</v>
      </c>
      <c r="E592" s="212">
        <v>1</v>
      </c>
      <c r="F592" s="212">
        <v>1205</v>
      </c>
      <c r="G592" s="212">
        <v>1205</v>
      </c>
      <c r="H592" s="212">
        <v>0</v>
      </c>
      <c r="I592" s="212">
        <v>0</v>
      </c>
      <c r="J592" s="212">
        <v>1205</v>
      </c>
    </row>
    <row r="593" spans="1:10" ht="14.1" customHeight="1" x14ac:dyDescent="0.15">
      <c r="A593" s="221"/>
      <c r="B593" s="221"/>
      <c r="C593" s="221"/>
      <c r="D593" s="210" t="s">
        <v>137</v>
      </c>
      <c r="E593" s="212">
        <v>1</v>
      </c>
      <c r="F593" s="212">
        <v>4097</v>
      </c>
      <c r="G593" s="212">
        <v>4097</v>
      </c>
      <c r="H593" s="212">
        <v>0</v>
      </c>
      <c r="I593" s="212">
        <v>0</v>
      </c>
      <c r="J593" s="212">
        <v>4097</v>
      </c>
    </row>
    <row r="594" spans="1:10" ht="14.1" customHeight="1" x14ac:dyDescent="0.15">
      <c r="A594" s="221"/>
      <c r="B594" s="221"/>
      <c r="C594" s="221"/>
      <c r="D594" s="210" t="s">
        <v>143</v>
      </c>
      <c r="E594" s="212">
        <v>8</v>
      </c>
      <c r="F594" s="212">
        <v>5103</v>
      </c>
      <c r="G594" s="212">
        <v>40824</v>
      </c>
      <c r="H594" s="212">
        <v>0</v>
      </c>
      <c r="I594" s="212">
        <v>0</v>
      </c>
      <c r="J594" s="212">
        <v>40824</v>
      </c>
    </row>
    <row r="595" spans="1:10" ht="14.1" customHeight="1" x14ac:dyDescent="0.15">
      <c r="A595" s="221"/>
      <c r="B595" s="221"/>
      <c r="C595" s="221"/>
      <c r="D595" s="210" t="s">
        <v>138</v>
      </c>
      <c r="E595" s="212">
        <v>42</v>
      </c>
      <c r="F595" s="212">
        <v>5103</v>
      </c>
      <c r="G595" s="212">
        <v>214326</v>
      </c>
      <c r="H595" s="212">
        <v>0</v>
      </c>
      <c r="I595" s="212">
        <v>0</v>
      </c>
      <c r="J595" s="212">
        <v>214326</v>
      </c>
    </row>
    <row r="596" spans="1:10" ht="29.1" customHeight="1" x14ac:dyDescent="0.15">
      <c r="A596" s="221"/>
      <c r="B596" s="221"/>
      <c r="C596" s="222" t="s">
        <v>159</v>
      </c>
      <c r="D596" s="210" t="s">
        <v>79</v>
      </c>
      <c r="E596" s="212">
        <v>10</v>
      </c>
      <c r="F596" s="212">
        <v>28332</v>
      </c>
      <c r="G596" s="212">
        <v>283320</v>
      </c>
      <c r="H596" s="212">
        <v>1421</v>
      </c>
      <c r="I596" s="212">
        <v>14210</v>
      </c>
      <c r="J596" s="212">
        <v>269110</v>
      </c>
    </row>
    <row r="597" spans="1:10" ht="14.1" customHeight="1" x14ac:dyDescent="0.15">
      <c r="A597" s="221"/>
      <c r="B597" s="221"/>
      <c r="C597" s="221"/>
      <c r="D597" s="210" t="s">
        <v>73</v>
      </c>
      <c r="E597" s="212">
        <v>2</v>
      </c>
      <c r="F597" s="212">
        <v>14548</v>
      </c>
      <c r="G597" s="212">
        <v>29096</v>
      </c>
      <c r="H597" s="212">
        <v>1421</v>
      </c>
      <c r="I597" s="212">
        <v>2842</v>
      </c>
      <c r="J597" s="212">
        <v>26254</v>
      </c>
    </row>
    <row r="598" spans="1:10" ht="14.1" customHeight="1" x14ac:dyDescent="0.15">
      <c r="A598" s="221"/>
      <c r="B598" s="221"/>
      <c r="C598" s="221"/>
      <c r="D598" s="210" t="s">
        <v>71</v>
      </c>
      <c r="E598" s="212">
        <v>2</v>
      </c>
      <c r="F598" s="212">
        <v>8249</v>
      </c>
      <c r="G598" s="212">
        <v>16498</v>
      </c>
      <c r="H598" s="212">
        <v>1421</v>
      </c>
      <c r="I598" s="212">
        <v>2842</v>
      </c>
      <c r="J598" s="212">
        <v>13656</v>
      </c>
    </row>
    <row r="599" spans="1:10" ht="14.1" customHeight="1" x14ac:dyDescent="0.15">
      <c r="A599" s="221"/>
      <c r="B599" s="221"/>
      <c r="C599" s="221"/>
      <c r="D599" s="210" t="s">
        <v>140</v>
      </c>
      <c r="E599" s="212">
        <v>2</v>
      </c>
      <c r="F599" s="212">
        <v>6524</v>
      </c>
      <c r="G599" s="212">
        <v>13048</v>
      </c>
      <c r="H599" s="212">
        <v>1421</v>
      </c>
      <c r="I599" s="212">
        <v>2842</v>
      </c>
      <c r="J599" s="212">
        <v>10206</v>
      </c>
    </row>
    <row r="600" spans="1:10" ht="29.1" customHeight="1" x14ac:dyDescent="0.15">
      <c r="A600" s="221"/>
      <c r="B600" s="221"/>
      <c r="C600" s="209" t="s">
        <v>160</v>
      </c>
      <c r="D600" s="210" t="s">
        <v>139</v>
      </c>
      <c r="E600" s="212">
        <v>21</v>
      </c>
      <c r="F600" s="212">
        <v>5369</v>
      </c>
      <c r="G600" s="212">
        <v>112749</v>
      </c>
      <c r="H600" s="212">
        <v>1367</v>
      </c>
      <c r="I600" s="212">
        <v>28707</v>
      </c>
      <c r="J600" s="212">
        <v>84042</v>
      </c>
    </row>
    <row r="601" spans="1:10" ht="29.1" customHeight="1" x14ac:dyDescent="0.15">
      <c r="A601" s="221"/>
      <c r="B601" s="221"/>
      <c r="C601" s="222" t="s">
        <v>161</v>
      </c>
      <c r="D601" s="210" t="s">
        <v>101</v>
      </c>
      <c r="E601" s="212">
        <v>1</v>
      </c>
      <c r="F601" s="212">
        <v>45688</v>
      </c>
      <c r="G601" s="212">
        <v>45688</v>
      </c>
      <c r="H601" s="212">
        <v>702</v>
      </c>
      <c r="I601" s="212">
        <v>702</v>
      </c>
      <c r="J601" s="212">
        <v>44986</v>
      </c>
    </row>
    <row r="602" spans="1:10" ht="14.1" customHeight="1" x14ac:dyDescent="0.15">
      <c r="A602" s="221"/>
      <c r="B602" s="221"/>
      <c r="C602" s="221"/>
      <c r="D602" s="210" t="s">
        <v>79</v>
      </c>
      <c r="E602" s="212">
        <v>738</v>
      </c>
      <c r="F602" s="212">
        <v>27613</v>
      </c>
      <c r="G602" s="212">
        <v>20378394</v>
      </c>
      <c r="H602" s="212">
        <v>702</v>
      </c>
      <c r="I602" s="212">
        <v>518076</v>
      </c>
      <c r="J602" s="212">
        <v>19860318</v>
      </c>
    </row>
    <row r="603" spans="1:10" ht="14.1" customHeight="1" x14ac:dyDescent="0.15">
      <c r="A603" s="221"/>
      <c r="B603" s="221"/>
      <c r="C603" s="221"/>
      <c r="D603" s="210" t="s">
        <v>73</v>
      </c>
      <c r="E603" s="212">
        <v>1578</v>
      </c>
      <c r="F603" s="212">
        <v>13829</v>
      </c>
      <c r="G603" s="212">
        <v>21822162</v>
      </c>
      <c r="H603" s="212">
        <v>702</v>
      </c>
      <c r="I603" s="212">
        <v>1107756</v>
      </c>
      <c r="J603" s="212">
        <v>20714406</v>
      </c>
    </row>
    <row r="604" spans="1:10" ht="14.1" customHeight="1" x14ac:dyDescent="0.15">
      <c r="A604" s="221"/>
      <c r="B604" s="221"/>
      <c r="C604" s="221"/>
      <c r="D604" s="210" t="s">
        <v>74</v>
      </c>
      <c r="E604" s="212">
        <v>485</v>
      </c>
      <c r="F604" s="212">
        <v>10742</v>
      </c>
      <c r="G604" s="212">
        <v>5209870</v>
      </c>
      <c r="H604" s="212">
        <v>702</v>
      </c>
      <c r="I604" s="212">
        <v>340470</v>
      </c>
      <c r="J604" s="212">
        <v>4869400</v>
      </c>
    </row>
    <row r="605" spans="1:10" ht="14.1" customHeight="1" x14ac:dyDescent="0.15">
      <c r="A605" s="221"/>
      <c r="B605" s="221"/>
      <c r="C605" s="221"/>
      <c r="D605" s="210" t="s">
        <v>71</v>
      </c>
      <c r="E605" s="212">
        <v>295</v>
      </c>
      <c r="F605" s="212">
        <v>7530</v>
      </c>
      <c r="G605" s="212">
        <v>2221350</v>
      </c>
      <c r="H605" s="212">
        <v>702</v>
      </c>
      <c r="I605" s="212">
        <v>207090</v>
      </c>
      <c r="J605" s="212">
        <v>2014260</v>
      </c>
    </row>
    <row r="606" spans="1:10" ht="14.1" customHeight="1" x14ac:dyDescent="0.15">
      <c r="A606" s="221"/>
      <c r="B606" s="221"/>
      <c r="C606" s="221"/>
      <c r="D606" s="210" t="s">
        <v>75</v>
      </c>
      <c r="E606" s="212">
        <v>14</v>
      </c>
      <c r="F606" s="212">
        <v>1907</v>
      </c>
      <c r="G606" s="212">
        <v>26698</v>
      </c>
      <c r="H606" s="212">
        <v>702</v>
      </c>
      <c r="I606" s="212">
        <v>9828</v>
      </c>
      <c r="J606" s="212">
        <v>16870</v>
      </c>
    </row>
    <row r="607" spans="1:10" ht="14.1" customHeight="1" x14ac:dyDescent="0.15">
      <c r="A607" s="221"/>
      <c r="B607" s="221"/>
      <c r="C607" s="221"/>
      <c r="D607" s="210" t="s">
        <v>69</v>
      </c>
      <c r="E607" s="212">
        <v>43</v>
      </c>
      <c r="F607" s="212">
        <v>24895</v>
      </c>
      <c r="G607" s="212">
        <v>1070485</v>
      </c>
      <c r="H607" s="212">
        <v>702</v>
      </c>
      <c r="I607" s="212">
        <v>30186</v>
      </c>
      <c r="J607" s="212">
        <v>1040299</v>
      </c>
    </row>
    <row r="608" spans="1:10" ht="14.1" customHeight="1" x14ac:dyDescent="0.15">
      <c r="A608" s="221"/>
      <c r="B608" s="221"/>
      <c r="C608" s="221"/>
      <c r="D608" s="210" t="s">
        <v>139</v>
      </c>
      <c r="E608" s="212">
        <v>1</v>
      </c>
      <c r="F608" s="212">
        <v>4799</v>
      </c>
      <c r="G608" s="212">
        <v>4799</v>
      </c>
      <c r="H608" s="212">
        <v>702</v>
      </c>
      <c r="I608" s="212">
        <v>702</v>
      </c>
      <c r="J608" s="212">
        <v>4097</v>
      </c>
    </row>
    <row r="609" spans="1:10" ht="14.1" customHeight="1" x14ac:dyDescent="0.15">
      <c r="A609" s="221"/>
      <c r="B609" s="221"/>
      <c r="C609" s="221"/>
      <c r="D609" s="210" t="s">
        <v>140</v>
      </c>
      <c r="E609" s="212">
        <v>838</v>
      </c>
      <c r="F609" s="212">
        <v>5805</v>
      </c>
      <c r="G609" s="212">
        <v>4864590</v>
      </c>
      <c r="H609" s="212">
        <v>702</v>
      </c>
      <c r="I609" s="212">
        <v>588276</v>
      </c>
      <c r="J609" s="212">
        <v>4276314</v>
      </c>
    </row>
    <row r="610" spans="1:10" ht="14.1" customHeight="1" x14ac:dyDescent="0.15">
      <c r="A610" s="221"/>
      <c r="B610" s="220" t="s">
        <v>168</v>
      </c>
      <c r="C610" s="223" t="s">
        <v>67</v>
      </c>
      <c r="D610" s="210" t="s">
        <v>145</v>
      </c>
      <c r="E610" s="212">
        <v>3</v>
      </c>
      <c r="F610" s="212">
        <v>26911</v>
      </c>
      <c r="G610" s="212">
        <v>80733</v>
      </c>
      <c r="H610" s="212">
        <v>925</v>
      </c>
      <c r="I610" s="212">
        <v>2775</v>
      </c>
      <c r="J610" s="212">
        <v>77958</v>
      </c>
    </row>
    <row r="611" spans="1:10" ht="14.1" customHeight="1" x14ac:dyDescent="0.15">
      <c r="A611" s="221"/>
      <c r="B611" s="221"/>
      <c r="C611" s="221"/>
      <c r="D611" s="210" t="s">
        <v>85</v>
      </c>
      <c r="E611" s="212">
        <v>3</v>
      </c>
      <c r="F611" s="212">
        <v>26911</v>
      </c>
      <c r="G611" s="212">
        <v>80733</v>
      </c>
      <c r="H611" s="212">
        <v>925</v>
      </c>
      <c r="I611" s="212">
        <v>2775</v>
      </c>
      <c r="J611" s="212">
        <v>77958</v>
      </c>
    </row>
    <row r="612" spans="1:10" ht="14.1" customHeight="1" x14ac:dyDescent="0.15">
      <c r="A612" s="221"/>
      <c r="B612" s="221"/>
      <c r="C612" s="221"/>
      <c r="D612" s="210" t="s">
        <v>141</v>
      </c>
      <c r="E612" s="212">
        <v>8</v>
      </c>
      <c r="F612" s="212">
        <v>13127</v>
      </c>
      <c r="G612" s="212">
        <v>105016</v>
      </c>
      <c r="H612" s="212">
        <v>925</v>
      </c>
      <c r="I612" s="212">
        <v>7400</v>
      </c>
      <c r="J612" s="212">
        <v>97616</v>
      </c>
    </row>
    <row r="613" spans="1:10" ht="14.1" customHeight="1" x14ac:dyDescent="0.15">
      <c r="A613" s="221"/>
      <c r="B613" s="221"/>
      <c r="C613" s="221"/>
      <c r="D613" s="210" t="s">
        <v>78</v>
      </c>
      <c r="E613" s="212">
        <v>2</v>
      </c>
      <c r="F613" s="212">
        <v>13127</v>
      </c>
      <c r="G613" s="212">
        <v>26254</v>
      </c>
      <c r="H613" s="212">
        <v>925</v>
      </c>
      <c r="I613" s="212">
        <v>1850</v>
      </c>
      <c r="J613" s="212">
        <v>24404</v>
      </c>
    </row>
    <row r="614" spans="1:10" ht="14.1" customHeight="1" x14ac:dyDescent="0.15">
      <c r="A614" s="221"/>
      <c r="B614" s="221"/>
      <c r="C614" s="221"/>
      <c r="D614" s="210" t="s">
        <v>83</v>
      </c>
      <c r="E614" s="212">
        <v>3</v>
      </c>
      <c r="F614" s="212">
        <v>10040</v>
      </c>
      <c r="G614" s="212">
        <v>30120</v>
      </c>
      <c r="H614" s="212">
        <v>925</v>
      </c>
      <c r="I614" s="212">
        <v>2775</v>
      </c>
      <c r="J614" s="212">
        <v>27345</v>
      </c>
    </row>
    <row r="615" spans="1:10" ht="14.1" customHeight="1" x14ac:dyDescent="0.15">
      <c r="A615" s="221"/>
      <c r="B615" s="221"/>
      <c r="C615" s="221"/>
      <c r="D615" s="210" t="s">
        <v>136</v>
      </c>
      <c r="E615" s="212">
        <v>8</v>
      </c>
      <c r="F615" s="212">
        <v>6828</v>
      </c>
      <c r="G615" s="212">
        <v>54624</v>
      </c>
      <c r="H615" s="212">
        <v>925</v>
      </c>
      <c r="I615" s="212">
        <v>7400</v>
      </c>
      <c r="J615" s="212">
        <v>47224</v>
      </c>
    </row>
    <row r="616" spans="1:10" ht="14.1" customHeight="1" x14ac:dyDescent="0.15">
      <c r="A616" s="221"/>
      <c r="B616" s="221"/>
      <c r="C616" s="221"/>
      <c r="D616" s="210" t="s">
        <v>77</v>
      </c>
      <c r="E616" s="212">
        <v>16</v>
      </c>
      <c r="F616" s="212">
        <v>6828</v>
      </c>
      <c r="G616" s="212">
        <v>109248</v>
      </c>
      <c r="H616" s="212">
        <v>925</v>
      </c>
      <c r="I616" s="212">
        <v>14800</v>
      </c>
      <c r="J616" s="212">
        <v>94448</v>
      </c>
    </row>
    <row r="617" spans="1:10" ht="14.1" customHeight="1" x14ac:dyDescent="0.15">
      <c r="A617" s="221"/>
      <c r="B617" s="221"/>
      <c r="C617" s="221"/>
      <c r="D617" s="210" t="s">
        <v>86</v>
      </c>
      <c r="E617" s="212">
        <v>1</v>
      </c>
      <c r="F617" s="212">
        <v>4251</v>
      </c>
      <c r="G617" s="212">
        <v>4251</v>
      </c>
      <c r="H617" s="212">
        <v>925</v>
      </c>
      <c r="I617" s="212">
        <v>925</v>
      </c>
      <c r="J617" s="212">
        <v>3326</v>
      </c>
    </row>
    <row r="618" spans="1:10" ht="14.1" customHeight="1" x14ac:dyDescent="0.15">
      <c r="A618" s="221"/>
      <c r="B618" s="221"/>
      <c r="C618" s="221"/>
      <c r="D618" s="210" t="s">
        <v>147</v>
      </c>
      <c r="E618" s="212">
        <v>1</v>
      </c>
      <c r="F618" s="212">
        <v>2410</v>
      </c>
      <c r="G618" s="212">
        <v>2410</v>
      </c>
      <c r="H618" s="212">
        <v>925</v>
      </c>
      <c r="I618" s="212">
        <v>925</v>
      </c>
      <c r="J618" s="212">
        <v>1485</v>
      </c>
    </row>
    <row r="619" spans="1:10" ht="14.1" customHeight="1" x14ac:dyDescent="0.15">
      <c r="A619" s="221"/>
      <c r="B619" s="221"/>
      <c r="C619" s="221"/>
      <c r="D619" s="210" t="s">
        <v>84</v>
      </c>
      <c r="E619" s="212">
        <v>1</v>
      </c>
      <c r="F619" s="212">
        <v>2410</v>
      </c>
      <c r="G619" s="212">
        <v>2410</v>
      </c>
      <c r="H619" s="212">
        <v>925</v>
      </c>
      <c r="I619" s="212">
        <v>925</v>
      </c>
      <c r="J619" s="212">
        <v>1485</v>
      </c>
    </row>
    <row r="620" spans="1:10" ht="14.1" customHeight="1" x14ac:dyDescent="0.15">
      <c r="A620" s="221"/>
      <c r="B620" s="221"/>
      <c r="C620" s="221"/>
      <c r="D620" s="210" t="s">
        <v>148</v>
      </c>
      <c r="E620" s="212">
        <v>6</v>
      </c>
      <c r="F620" s="212">
        <v>1205</v>
      </c>
      <c r="G620" s="212">
        <v>7230</v>
      </c>
      <c r="H620" s="212">
        <v>925</v>
      </c>
      <c r="I620" s="212">
        <v>5550</v>
      </c>
      <c r="J620" s="212">
        <v>1680</v>
      </c>
    </row>
    <row r="621" spans="1:10" ht="14.1" customHeight="1" x14ac:dyDescent="0.15">
      <c r="A621" s="221"/>
      <c r="B621" s="221"/>
      <c r="C621" s="221"/>
      <c r="D621" s="210" t="s">
        <v>89</v>
      </c>
      <c r="E621" s="212">
        <v>2</v>
      </c>
      <c r="F621" s="212">
        <v>1205</v>
      </c>
      <c r="G621" s="212">
        <v>2410</v>
      </c>
      <c r="H621" s="212">
        <v>925</v>
      </c>
      <c r="I621" s="212">
        <v>1850</v>
      </c>
      <c r="J621" s="212">
        <v>560</v>
      </c>
    </row>
    <row r="622" spans="1:10" ht="29.1" customHeight="1" x14ac:dyDescent="0.15">
      <c r="A622" s="221"/>
      <c r="B622" s="221"/>
      <c r="C622" s="222" t="s">
        <v>159</v>
      </c>
      <c r="D622" s="210" t="s">
        <v>79</v>
      </c>
      <c r="E622" s="212">
        <v>2</v>
      </c>
      <c r="F622" s="212">
        <v>28332</v>
      </c>
      <c r="G622" s="212">
        <v>56664</v>
      </c>
      <c r="H622" s="212">
        <v>2346</v>
      </c>
      <c r="I622" s="212">
        <v>4692</v>
      </c>
      <c r="J622" s="212">
        <v>51972</v>
      </c>
    </row>
    <row r="623" spans="1:10" ht="14.1" customHeight="1" x14ac:dyDescent="0.15">
      <c r="A623" s="221"/>
      <c r="B623" s="221"/>
      <c r="C623" s="221"/>
      <c r="D623" s="210" t="s">
        <v>74</v>
      </c>
      <c r="E623" s="212">
        <v>4</v>
      </c>
      <c r="F623" s="212">
        <v>11461</v>
      </c>
      <c r="G623" s="212">
        <v>45844</v>
      </c>
      <c r="H623" s="212">
        <v>2346</v>
      </c>
      <c r="I623" s="212">
        <v>9384</v>
      </c>
      <c r="J623" s="212">
        <v>36460</v>
      </c>
    </row>
    <row r="624" spans="1:10" ht="14.1" customHeight="1" x14ac:dyDescent="0.15">
      <c r="A624" s="221"/>
      <c r="B624" s="221"/>
      <c r="C624" s="221"/>
      <c r="D624" s="210" t="s">
        <v>71</v>
      </c>
      <c r="E624" s="212">
        <v>7</v>
      </c>
      <c r="F624" s="212">
        <v>8249</v>
      </c>
      <c r="G624" s="212">
        <v>57743</v>
      </c>
      <c r="H624" s="212">
        <v>2346</v>
      </c>
      <c r="I624" s="212">
        <v>16422</v>
      </c>
      <c r="J624" s="212">
        <v>41321</v>
      </c>
    </row>
    <row r="625" spans="1:10" ht="29.1" customHeight="1" x14ac:dyDescent="0.15">
      <c r="A625" s="221"/>
      <c r="B625" s="221"/>
      <c r="C625" s="222" t="s">
        <v>161</v>
      </c>
      <c r="D625" s="210" t="s">
        <v>88</v>
      </c>
      <c r="E625" s="212">
        <v>3</v>
      </c>
      <c r="F625" s="212">
        <v>61914</v>
      </c>
      <c r="G625" s="212">
        <v>185742</v>
      </c>
      <c r="H625" s="212">
        <v>1627</v>
      </c>
      <c r="I625" s="212">
        <v>4881</v>
      </c>
      <c r="J625" s="212">
        <v>180861</v>
      </c>
    </row>
    <row r="626" spans="1:10" ht="14.1" customHeight="1" x14ac:dyDescent="0.15">
      <c r="A626" s="221"/>
      <c r="B626" s="221"/>
      <c r="C626" s="221"/>
      <c r="D626" s="210" t="s">
        <v>101</v>
      </c>
      <c r="E626" s="212">
        <v>21</v>
      </c>
      <c r="F626" s="212">
        <v>45688</v>
      </c>
      <c r="G626" s="212">
        <v>959448</v>
      </c>
      <c r="H626" s="212">
        <v>1627</v>
      </c>
      <c r="I626" s="212">
        <v>34167</v>
      </c>
      <c r="J626" s="212">
        <v>925281</v>
      </c>
    </row>
    <row r="627" spans="1:10" ht="14.1" customHeight="1" x14ac:dyDescent="0.15">
      <c r="A627" s="221"/>
      <c r="B627" s="221"/>
      <c r="C627" s="221"/>
      <c r="D627" s="210" t="s">
        <v>79</v>
      </c>
      <c r="E627" s="212">
        <v>931</v>
      </c>
      <c r="F627" s="212">
        <v>27613</v>
      </c>
      <c r="G627" s="212">
        <v>25707703</v>
      </c>
      <c r="H627" s="212">
        <v>1627</v>
      </c>
      <c r="I627" s="212">
        <v>1514737</v>
      </c>
      <c r="J627" s="212">
        <v>24192966</v>
      </c>
    </row>
    <row r="628" spans="1:10" ht="14.1" customHeight="1" x14ac:dyDescent="0.15">
      <c r="A628" s="221"/>
      <c r="B628" s="221"/>
      <c r="C628" s="221"/>
      <c r="D628" s="210" t="s">
        <v>73</v>
      </c>
      <c r="E628" s="212">
        <v>415</v>
      </c>
      <c r="F628" s="212">
        <v>13829</v>
      </c>
      <c r="G628" s="212">
        <v>5739035</v>
      </c>
      <c r="H628" s="212">
        <v>1627</v>
      </c>
      <c r="I628" s="212">
        <v>675205</v>
      </c>
      <c r="J628" s="212">
        <v>5063830</v>
      </c>
    </row>
    <row r="629" spans="1:10" ht="14.1" customHeight="1" x14ac:dyDescent="0.15">
      <c r="A629" s="221"/>
      <c r="B629" s="221"/>
      <c r="C629" s="221"/>
      <c r="D629" s="210" t="s">
        <v>74</v>
      </c>
      <c r="E629" s="212">
        <v>655</v>
      </c>
      <c r="F629" s="212">
        <v>10742</v>
      </c>
      <c r="G629" s="212">
        <v>7036010</v>
      </c>
      <c r="H629" s="212">
        <v>1627</v>
      </c>
      <c r="I629" s="212">
        <v>1065685</v>
      </c>
      <c r="J629" s="212">
        <v>5970325</v>
      </c>
    </row>
    <row r="630" spans="1:10" ht="14.1" customHeight="1" x14ac:dyDescent="0.15">
      <c r="A630" s="221"/>
      <c r="B630" s="221"/>
      <c r="C630" s="221"/>
      <c r="D630" s="210" t="s">
        <v>71</v>
      </c>
      <c r="E630" s="212">
        <v>1634</v>
      </c>
      <c r="F630" s="212">
        <v>7531</v>
      </c>
      <c r="G630" s="212">
        <v>12305458</v>
      </c>
      <c r="H630" s="212">
        <v>1627</v>
      </c>
      <c r="I630" s="212">
        <v>2658518</v>
      </c>
      <c r="J630" s="212">
        <v>9646940</v>
      </c>
    </row>
    <row r="631" spans="1:10" ht="14.1" customHeight="1" x14ac:dyDescent="0.15">
      <c r="A631" s="221"/>
      <c r="B631" s="221"/>
      <c r="C631" s="221"/>
      <c r="D631" s="210" t="s">
        <v>72</v>
      </c>
      <c r="E631" s="212">
        <v>21</v>
      </c>
      <c r="F631" s="212">
        <v>4953</v>
      </c>
      <c r="G631" s="212">
        <v>104013</v>
      </c>
      <c r="H631" s="212">
        <v>1627</v>
      </c>
      <c r="I631" s="212">
        <v>34167</v>
      </c>
      <c r="J631" s="212">
        <v>69846</v>
      </c>
    </row>
    <row r="632" spans="1:10" ht="14.1" customHeight="1" x14ac:dyDescent="0.15">
      <c r="A632" s="221"/>
      <c r="B632" s="221"/>
      <c r="C632" s="221"/>
      <c r="D632" s="210" t="s">
        <v>82</v>
      </c>
      <c r="E632" s="212">
        <v>71</v>
      </c>
      <c r="F632" s="212">
        <v>3112</v>
      </c>
      <c r="G632" s="212">
        <v>220952</v>
      </c>
      <c r="H632" s="212">
        <v>1627</v>
      </c>
      <c r="I632" s="212">
        <v>115517</v>
      </c>
      <c r="J632" s="212">
        <v>105435</v>
      </c>
    </row>
    <row r="633" spans="1:10" ht="14.1" customHeight="1" x14ac:dyDescent="0.15">
      <c r="A633" s="221"/>
      <c r="B633" s="221"/>
      <c r="C633" s="221"/>
      <c r="D633" s="210" t="s">
        <v>75</v>
      </c>
      <c r="E633" s="212">
        <v>180</v>
      </c>
      <c r="F633" s="212">
        <v>1907</v>
      </c>
      <c r="G633" s="212">
        <v>343260</v>
      </c>
      <c r="H633" s="212">
        <v>1627</v>
      </c>
      <c r="I633" s="212">
        <v>292860</v>
      </c>
      <c r="J633" s="212">
        <v>50400</v>
      </c>
    </row>
    <row r="634" spans="1:10" ht="14.1" customHeight="1" x14ac:dyDescent="0.15">
      <c r="A634" s="221" t="s">
        <v>156</v>
      </c>
      <c r="B634" s="221" t="s">
        <v>53</v>
      </c>
      <c r="C634" s="221"/>
      <c r="D634" s="221"/>
      <c r="E634" s="212">
        <v>1103</v>
      </c>
      <c r="F634" s="212">
        <v>146861</v>
      </c>
      <c r="G634" s="212">
        <v>19236503</v>
      </c>
      <c r="H634" s="212"/>
      <c r="I634" s="212">
        <v>774323</v>
      </c>
      <c r="J634" s="212">
        <v>18462180</v>
      </c>
    </row>
    <row r="635" spans="1:10" ht="14.1" customHeight="1" x14ac:dyDescent="0.15">
      <c r="A635" s="221"/>
      <c r="B635" s="210" t="s">
        <v>63</v>
      </c>
      <c r="C635" s="210" t="s">
        <v>64</v>
      </c>
      <c r="D635" s="210" t="s">
        <v>65</v>
      </c>
      <c r="E635" s="218">
        <v>1</v>
      </c>
      <c r="F635" s="218">
        <v>13127</v>
      </c>
      <c r="G635" s="218">
        <v>13127</v>
      </c>
      <c r="H635" s="218">
        <v>0</v>
      </c>
      <c r="I635" s="218">
        <v>0</v>
      </c>
      <c r="J635" s="218">
        <v>13127</v>
      </c>
    </row>
    <row r="636" spans="1:10" ht="29.1" customHeight="1" x14ac:dyDescent="0.15">
      <c r="A636" s="221"/>
      <c r="B636" s="222" t="s">
        <v>167</v>
      </c>
      <c r="C636" s="211" t="s">
        <v>67</v>
      </c>
      <c r="D636" s="210" t="s">
        <v>141</v>
      </c>
      <c r="E636" s="219"/>
      <c r="F636" s="219"/>
      <c r="G636" s="219"/>
      <c r="H636" s="219"/>
      <c r="I636" s="219"/>
      <c r="J636" s="219"/>
    </row>
    <row r="637" spans="1:10" ht="29.1" customHeight="1" x14ac:dyDescent="0.15">
      <c r="A637" s="221"/>
      <c r="B637" s="221"/>
      <c r="C637" s="209" t="s">
        <v>159</v>
      </c>
      <c r="D637" s="210" t="s">
        <v>79</v>
      </c>
      <c r="E637" s="212">
        <v>1</v>
      </c>
      <c r="F637" s="212">
        <v>28332</v>
      </c>
      <c r="G637" s="212">
        <v>28332</v>
      </c>
      <c r="H637" s="212">
        <v>1421</v>
      </c>
      <c r="I637" s="212">
        <v>1421</v>
      </c>
      <c r="J637" s="212">
        <v>26911</v>
      </c>
    </row>
    <row r="638" spans="1:10" ht="29.1" customHeight="1" x14ac:dyDescent="0.15">
      <c r="A638" s="221"/>
      <c r="B638" s="221"/>
      <c r="C638" s="222" t="s">
        <v>161</v>
      </c>
      <c r="D638" s="210" t="s">
        <v>101</v>
      </c>
      <c r="E638" s="212">
        <v>5</v>
      </c>
      <c r="F638" s="212">
        <v>45688</v>
      </c>
      <c r="G638" s="212">
        <v>228440</v>
      </c>
      <c r="H638" s="212">
        <v>702</v>
      </c>
      <c r="I638" s="212">
        <v>3510</v>
      </c>
      <c r="J638" s="212">
        <v>224930</v>
      </c>
    </row>
    <row r="639" spans="1:10" ht="14.1" customHeight="1" x14ac:dyDescent="0.15">
      <c r="A639" s="221"/>
      <c r="B639" s="221"/>
      <c r="C639" s="221"/>
      <c r="D639" s="210" t="s">
        <v>79</v>
      </c>
      <c r="E639" s="212">
        <v>353</v>
      </c>
      <c r="F639" s="212">
        <v>27613</v>
      </c>
      <c r="G639" s="212">
        <v>9747389</v>
      </c>
      <c r="H639" s="212">
        <v>702</v>
      </c>
      <c r="I639" s="212">
        <v>247806</v>
      </c>
      <c r="J639" s="212">
        <v>9499583</v>
      </c>
    </row>
    <row r="640" spans="1:10" ht="14.1" customHeight="1" x14ac:dyDescent="0.15">
      <c r="A640" s="221"/>
      <c r="B640" s="221"/>
      <c r="C640" s="221"/>
      <c r="D640" s="210" t="s">
        <v>73</v>
      </c>
      <c r="E640" s="212">
        <v>555</v>
      </c>
      <c r="F640" s="212">
        <v>13829</v>
      </c>
      <c r="G640" s="212">
        <v>7675095</v>
      </c>
      <c r="H640" s="212">
        <v>702</v>
      </c>
      <c r="I640" s="212">
        <v>389610</v>
      </c>
      <c r="J640" s="212">
        <v>7285485</v>
      </c>
    </row>
    <row r="641" spans="1:10" ht="14.1" customHeight="1" x14ac:dyDescent="0.15">
      <c r="A641" s="221"/>
      <c r="B641" s="221"/>
      <c r="C641" s="221"/>
      <c r="D641" s="210" t="s">
        <v>74</v>
      </c>
      <c r="E641" s="212">
        <v>40</v>
      </c>
      <c r="F641" s="212">
        <v>10742</v>
      </c>
      <c r="G641" s="212">
        <v>429680</v>
      </c>
      <c r="H641" s="212">
        <v>702</v>
      </c>
      <c r="I641" s="212">
        <v>28080</v>
      </c>
      <c r="J641" s="212">
        <v>401600</v>
      </c>
    </row>
    <row r="642" spans="1:10" ht="14.1" customHeight="1" x14ac:dyDescent="0.15">
      <c r="A642" s="221"/>
      <c r="B642" s="221"/>
      <c r="C642" s="221"/>
      <c r="D642" s="210" t="s">
        <v>71</v>
      </c>
      <c r="E642" s="212">
        <v>148</v>
      </c>
      <c r="F642" s="212">
        <v>7530</v>
      </c>
      <c r="G642" s="212">
        <v>1114440</v>
      </c>
      <c r="H642" s="212">
        <v>702</v>
      </c>
      <c r="I642" s="212">
        <v>103896</v>
      </c>
      <c r="J642" s="212">
        <v>1010544</v>
      </c>
    </row>
    <row r="643" spans="1:10" ht="14.1" customHeight="1" x14ac:dyDescent="0.15">
      <c r="A643" s="221" t="s">
        <v>100</v>
      </c>
      <c r="B643" s="221" t="s">
        <v>53</v>
      </c>
      <c r="C643" s="221"/>
      <c r="D643" s="221"/>
      <c r="E643" s="212">
        <v>1733</v>
      </c>
      <c r="F643" s="212">
        <v>260320</v>
      </c>
      <c r="G643" s="212">
        <v>24225502</v>
      </c>
      <c r="H643" s="212"/>
      <c r="I643" s="212">
        <v>1486651</v>
      </c>
      <c r="J643" s="212">
        <v>22738851</v>
      </c>
    </row>
    <row r="644" spans="1:10" ht="14.1" customHeight="1" x14ac:dyDescent="0.15">
      <c r="A644" s="221"/>
      <c r="B644" s="210" t="s">
        <v>63</v>
      </c>
      <c r="C644" s="210" t="s">
        <v>64</v>
      </c>
      <c r="D644" s="210" t="s">
        <v>65</v>
      </c>
      <c r="E644" s="218">
        <v>80</v>
      </c>
      <c r="F644" s="218">
        <v>10841</v>
      </c>
      <c r="G644" s="218">
        <v>867280</v>
      </c>
      <c r="H644" s="218">
        <v>1627</v>
      </c>
      <c r="I644" s="218">
        <v>130160</v>
      </c>
      <c r="J644" s="218">
        <v>737120</v>
      </c>
    </row>
    <row r="645" spans="1:10" ht="29.1" customHeight="1" x14ac:dyDescent="0.15">
      <c r="A645" s="221"/>
      <c r="B645" s="213" t="s">
        <v>66</v>
      </c>
      <c r="C645" s="209" t="s">
        <v>161</v>
      </c>
      <c r="D645" s="210" t="s">
        <v>133</v>
      </c>
      <c r="E645" s="219"/>
      <c r="F645" s="219"/>
      <c r="G645" s="219"/>
      <c r="H645" s="219"/>
      <c r="I645" s="219"/>
      <c r="J645" s="219"/>
    </row>
    <row r="646" spans="1:10" ht="29.1" customHeight="1" x14ac:dyDescent="0.15">
      <c r="A646" s="221"/>
      <c r="B646" s="222" t="s">
        <v>167</v>
      </c>
      <c r="C646" s="223" t="s">
        <v>67</v>
      </c>
      <c r="D646" s="210" t="s">
        <v>145</v>
      </c>
      <c r="E646" s="212">
        <v>2</v>
      </c>
      <c r="F646" s="212">
        <v>26911</v>
      </c>
      <c r="G646" s="212">
        <v>53822</v>
      </c>
      <c r="H646" s="212">
        <v>0</v>
      </c>
      <c r="I646" s="212">
        <v>0</v>
      </c>
      <c r="J646" s="212">
        <v>53822</v>
      </c>
    </row>
    <row r="647" spans="1:10" ht="14.1" customHeight="1" x14ac:dyDescent="0.15">
      <c r="A647" s="221"/>
      <c r="B647" s="221"/>
      <c r="C647" s="221"/>
      <c r="D647" s="210" t="s">
        <v>141</v>
      </c>
      <c r="E647" s="212">
        <v>2</v>
      </c>
      <c r="F647" s="212">
        <v>13127</v>
      </c>
      <c r="G647" s="212">
        <v>26254</v>
      </c>
      <c r="H647" s="212">
        <v>0</v>
      </c>
      <c r="I647" s="212">
        <v>0</v>
      </c>
      <c r="J647" s="212">
        <v>26254</v>
      </c>
    </row>
    <row r="648" spans="1:10" ht="14.1" customHeight="1" x14ac:dyDescent="0.15">
      <c r="A648" s="221"/>
      <c r="B648" s="221"/>
      <c r="C648" s="221"/>
      <c r="D648" s="210" t="s">
        <v>136</v>
      </c>
      <c r="E648" s="212">
        <v>2</v>
      </c>
      <c r="F648" s="212">
        <v>6828</v>
      </c>
      <c r="G648" s="212">
        <v>13656</v>
      </c>
      <c r="H648" s="212">
        <v>0</v>
      </c>
      <c r="I648" s="212">
        <v>0</v>
      </c>
      <c r="J648" s="212">
        <v>13656</v>
      </c>
    </row>
    <row r="649" spans="1:10" ht="14.1" customHeight="1" x14ac:dyDescent="0.15">
      <c r="A649" s="221"/>
      <c r="B649" s="221"/>
      <c r="C649" s="221"/>
      <c r="D649" s="210" t="s">
        <v>77</v>
      </c>
      <c r="E649" s="212">
        <v>1</v>
      </c>
      <c r="F649" s="212">
        <v>6828</v>
      </c>
      <c r="G649" s="212">
        <v>6828</v>
      </c>
      <c r="H649" s="212">
        <v>0</v>
      </c>
      <c r="I649" s="212">
        <v>0</v>
      </c>
      <c r="J649" s="212">
        <v>6828</v>
      </c>
    </row>
    <row r="650" spans="1:10" ht="29.1" customHeight="1" x14ac:dyDescent="0.15">
      <c r="A650" s="221"/>
      <c r="B650" s="221"/>
      <c r="C650" s="222" t="s">
        <v>159</v>
      </c>
      <c r="D650" s="210" t="s">
        <v>79</v>
      </c>
      <c r="E650" s="212">
        <v>1</v>
      </c>
      <c r="F650" s="212">
        <v>28332</v>
      </c>
      <c r="G650" s="212">
        <v>28332</v>
      </c>
      <c r="H650" s="212">
        <v>1421</v>
      </c>
      <c r="I650" s="212">
        <v>1421</v>
      </c>
      <c r="J650" s="212">
        <v>26911</v>
      </c>
    </row>
    <row r="651" spans="1:10" ht="14.1" customHeight="1" x14ac:dyDescent="0.15">
      <c r="A651" s="221"/>
      <c r="B651" s="221"/>
      <c r="C651" s="221"/>
      <c r="D651" s="210" t="s">
        <v>75</v>
      </c>
      <c r="E651" s="212">
        <v>1</v>
      </c>
      <c r="F651" s="212">
        <v>2626</v>
      </c>
      <c r="G651" s="212">
        <v>2626</v>
      </c>
      <c r="H651" s="212">
        <v>1421</v>
      </c>
      <c r="I651" s="212">
        <v>1421</v>
      </c>
      <c r="J651" s="212">
        <v>1205</v>
      </c>
    </row>
    <row r="652" spans="1:10" ht="14.1" customHeight="1" x14ac:dyDescent="0.15">
      <c r="A652" s="221"/>
      <c r="B652" s="221"/>
      <c r="C652" s="221"/>
      <c r="D652" s="210" t="s">
        <v>69</v>
      </c>
      <c r="E652" s="212">
        <v>1</v>
      </c>
      <c r="F652" s="212">
        <v>25614</v>
      </c>
      <c r="G652" s="212">
        <v>25614</v>
      </c>
      <c r="H652" s="212">
        <v>1421</v>
      </c>
      <c r="I652" s="212">
        <v>1421</v>
      </c>
      <c r="J652" s="212">
        <v>24193</v>
      </c>
    </row>
    <row r="653" spans="1:10" ht="29.1" customHeight="1" x14ac:dyDescent="0.15">
      <c r="A653" s="221"/>
      <c r="B653" s="221"/>
      <c r="C653" s="222" t="s">
        <v>161</v>
      </c>
      <c r="D653" s="210" t="s">
        <v>79</v>
      </c>
      <c r="E653" s="212">
        <v>207</v>
      </c>
      <c r="F653" s="212">
        <v>27613</v>
      </c>
      <c r="G653" s="212">
        <v>5715891</v>
      </c>
      <c r="H653" s="212">
        <v>702</v>
      </c>
      <c r="I653" s="212">
        <v>145314</v>
      </c>
      <c r="J653" s="212">
        <v>5570577</v>
      </c>
    </row>
    <row r="654" spans="1:10" ht="14.1" customHeight="1" x14ac:dyDescent="0.15">
      <c r="A654" s="221"/>
      <c r="B654" s="221"/>
      <c r="C654" s="221"/>
      <c r="D654" s="210" t="s">
        <v>73</v>
      </c>
      <c r="E654" s="212">
        <v>836</v>
      </c>
      <c r="F654" s="212">
        <v>13829</v>
      </c>
      <c r="G654" s="212">
        <v>11561044</v>
      </c>
      <c r="H654" s="212">
        <v>702</v>
      </c>
      <c r="I654" s="212">
        <v>586872</v>
      </c>
      <c r="J654" s="212">
        <v>10974172</v>
      </c>
    </row>
    <row r="655" spans="1:10" ht="14.1" customHeight="1" x14ac:dyDescent="0.15">
      <c r="A655" s="221"/>
      <c r="B655" s="221"/>
      <c r="C655" s="221"/>
      <c r="D655" s="210" t="s">
        <v>74</v>
      </c>
      <c r="E655" s="212">
        <v>52</v>
      </c>
      <c r="F655" s="212">
        <v>10742</v>
      </c>
      <c r="G655" s="212">
        <v>558584</v>
      </c>
      <c r="H655" s="212">
        <v>702</v>
      </c>
      <c r="I655" s="212">
        <v>36504</v>
      </c>
      <c r="J655" s="212">
        <v>522080</v>
      </c>
    </row>
    <row r="656" spans="1:10" ht="14.1" customHeight="1" x14ac:dyDescent="0.15">
      <c r="A656" s="221"/>
      <c r="B656" s="221"/>
      <c r="C656" s="221"/>
      <c r="D656" s="210" t="s">
        <v>71</v>
      </c>
      <c r="E656" s="212">
        <v>303</v>
      </c>
      <c r="F656" s="212">
        <v>7530</v>
      </c>
      <c r="G656" s="212">
        <v>2281590</v>
      </c>
      <c r="H656" s="212">
        <v>702</v>
      </c>
      <c r="I656" s="212">
        <v>212706</v>
      </c>
      <c r="J656" s="212">
        <v>2068884</v>
      </c>
    </row>
    <row r="657" spans="1:10" ht="14.1" customHeight="1" x14ac:dyDescent="0.15">
      <c r="A657" s="221"/>
      <c r="B657" s="221"/>
      <c r="C657" s="221"/>
      <c r="D657" s="210" t="s">
        <v>69</v>
      </c>
      <c r="E657" s="212">
        <v>17</v>
      </c>
      <c r="F657" s="212">
        <v>24895</v>
      </c>
      <c r="G657" s="212">
        <v>423215</v>
      </c>
      <c r="H657" s="212">
        <v>702</v>
      </c>
      <c r="I657" s="212">
        <v>11934</v>
      </c>
      <c r="J657" s="212">
        <v>411281</v>
      </c>
    </row>
    <row r="658" spans="1:10" ht="14.1" customHeight="1" x14ac:dyDescent="0.15">
      <c r="A658" s="221"/>
      <c r="B658" s="221"/>
      <c r="C658" s="221"/>
      <c r="D658" s="210" t="s">
        <v>140</v>
      </c>
      <c r="E658" s="212">
        <v>10</v>
      </c>
      <c r="F658" s="212">
        <v>5805</v>
      </c>
      <c r="G658" s="212">
        <v>58050</v>
      </c>
      <c r="H658" s="212">
        <v>702</v>
      </c>
      <c r="I658" s="212">
        <v>7020</v>
      </c>
      <c r="J658" s="212">
        <v>51030</v>
      </c>
    </row>
    <row r="659" spans="1:10" ht="14.1" customHeight="1" x14ac:dyDescent="0.15">
      <c r="A659" s="221"/>
      <c r="B659" s="220" t="s">
        <v>168</v>
      </c>
      <c r="C659" s="223" t="s">
        <v>67</v>
      </c>
      <c r="D659" s="210" t="s">
        <v>136</v>
      </c>
      <c r="E659" s="212">
        <v>1</v>
      </c>
      <c r="F659" s="212">
        <v>6828</v>
      </c>
      <c r="G659" s="212">
        <v>6828</v>
      </c>
      <c r="H659" s="212">
        <v>925</v>
      </c>
      <c r="I659" s="212">
        <v>925</v>
      </c>
      <c r="J659" s="212">
        <v>5903</v>
      </c>
    </row>
    <row r="660" spans="1:10" ht="14.1" customHeight="1" x14ac:dyDescent="0.15">
      <c r="A660" s="221"/>
      <c r="B660" s="221"/>
      <c r="C660" s="221"/>
      <c r="D660" s="210" t="s">
        <v>77</v>
      </c>
      <c r="E660" s="212">
        <v>3</v>
      </c>
      <c r="F660" s="212">
        <v>6828</v>
      </c>
      <c r="G660" s="212">
        <v>20484</v>
      </c>
      <c r="H660" s="212">
        <v>925</v>
      </c>
      <c r="I660" s="212">
        <v>2775</v>
      </c>
      <c r="J660" s="212">
        <v>17709</v>
      </c>
    </row>
    <row r="661" spans="1:10" ht="29.1" customHeight="1" x14ac:dyDescent="0.15">
      <c r="A661" s="221"/>
      <c r="B661" s="221"/>
      <c r="C661" s="222" t="s">
        <v>161</v>
      </c>
      <c r="D661" s="210" t="s">
        <v>79</v>
      </c>
      <c r="E661" s="212">
        <v>48</v>
      </c>
      <c r="F661" s="212">
        <v>27613</v>
      </c>
      <c r="G661" s="212">
        <v>1325424</v>
      </c>
      <c r="H661" s="212">
        <v>1627</v>
      </c>
      <c r="I661" s="212">
        <v>78096</v>
      </c>
      <c r="J661" s="212">
        <v>1247328</v>
      </c>
    </row>
    <row r="662" spans="1:10" ht="14.1" customHeight="1" x14ac:dyDescent="0.15">
      <c r="A662" s="221"/>
      <c r="B662" s="221"/>
      <c r="C662" s="221"/>
      <c r="D662" s="210" t="s">
        <v>71</v>
      </c>
      <c r="E662" s="212">
        <v>166</v>
      </c>
      <c r="F662" s="212">
        <v>7530</v>
      </c>
      <c r="G662" s="212">
        <v>1249980</v>
      </c>
      <c r="H662" s="212">
        <v>1627</v>
      </c>
      <c r="I662" s="212">
        <v>270082</v>
      </c>
      <c r="J662" s="212">
        <v>979898</v>
      </c>
    </row>
    <row r="663" spans="1:10" ht="29.1" customHeight="1" x14ac:dyDescent="0.15">
      <c r="A663" s="222" t="s">
        <v>115</v>
      </c>
      <c r="B663" s="221" t="s">
        <v>53</v>
      </c>
      <c r="C663" s="221"/>
      <c r="D663" s="221"/>
      <c r="E663" s="212">
        <v>3549</v>
      </c>
      <c r="F663" s="212">
        <v>302578</v>
      </c>
      <c r="G663" s="212">
        <v>41626173</v>
      </c>
      <c r="H663" s="212"/>
      <c r="I663" s="212">
        <v>3835100</v>
      </c>
      <c r="J663" s="212">
        <v>37791073</v>
      </c>
    </row>
    <row r="664" spans="1:10" ht="14.1" customHeight="1" x14ac:dyDescent="0.15">
      <c r="A664" s="221"/>
      <c r="B664" s="210" t="s">
        <v>63</v>
      </c>
      <c r="C664" s="210" t="s">
        <v>64</v>
      </c>
      <c r="D664" s="210" t="s">
        <v>65</v>
      </c>
      <c r="E664" s="218">
        <v>3</v>
      </c>
      <c r="F664" s="218">
        <v>10139</v>
      </c>
      <c r="G664" s="218">
        <v>30417</v>
      </c>
      <c r="H664" s="218">
        <v>0</v>
      </c>
      <c r="I664" s="218">
        <v>0</v>
      </c>
      <c r="J664" s="218">
        <v>30417</v>
      </c>
    </row>
    <row r="665" spans="1:10" ht="14.1" customHeight="1" x14ac:dyDescent="0.15">
      <c r="A665" s="221"/>
      <c r="B665" s="220" t="s">
        <v>66</v>
      </c>
      <c r="C665" s="223" t="s">
        <v>67</v>
      </c>
      <c r="D665" s="210" t="s">
        <v>134</v>
      </c>
      <c r="E665" s="219"/>
      <c r="F665" s="219"/>
      <c r="G665" s="219"/>
      <c r="H665" s="219"/>
      <c r="I665" s="219"/>
      <c r="J665" s="219"/>
    </row>
    <row r="666" spans="1:10" ht="14.1" customHeight="1" x14ac:dyDescent="0.15">
      <c r="A666" s="221"/>
      <c r="B666" s="221"/>
      <c r="C666" s="221"/>
      <c r="D666" s="210" t="s">
        <v>132</v>
      </c>
      <c r="E666" s="212">
        <v>1</v>
      </c>
      <c r="F666" s="212">
        <v>10139</v>
      </c>
      <c r="G666" s="212">
        <v>10139</v>
      </c>
      <c r="H666" s="212">
        <v>0</v>
      </c>
      <c r="I666" s="212">
        <v>0</v>
      </c>
      <c r="J666" s="212">
        <v>10139</v>
      </c>
    </row>
    <row r="667" spans="1:10" ht="29.1" customHeight="1" x14ac:dyDescent="0.15">
      <c r="A667" s="221"/>
      <c r="B667" s="221"/>
      <c r="C667" s="209" t="s">
        <v>161</v>
      </c>
      <c r="D667" s="210" t="s">
        <v>133</v>
      </c>
      <c r="E667" s="212">
        <v>112</v>
      </c>
      <c r="F667" s="212">
        <v>10841</v>
      </c>
      <c r="G667" s="212">
        <v>1214192</v>
      </c>
      <c r="H667" s="212">
        <v>1627</v>
      </c>
      <c r="I667" s="212">
        <v>182224</v>
      </c>
      <c r="J667" s="212">
        <v>1031968</v>
      </c>
    </row>
    <row r="668" spans="1:10" ht="29.1" customHeight="1" x14ac:dyDescent="0.15">
      <c r="A668" s="221"/>
      <c r="B668" s="222" t="s">
        <v>167</v>
      </c>
      <c r="C668" s="223" t="s">
        <v>67</v>
      </c>
      <c r="D668" s="210" t="s">
        <v>85</v>
      </c>
      <c r="E668" s="212">
        <v>1</v>
      </c>
      <c r="F668" s="212">
        <v>26911</v>
      </c>
      <c r="G668" s="212">
        <v>26911</v>
      </c>
      <c r="H668" s="212">
        <v>0</v>
      </c>
      <c r="I668" s="212">
        <v>0</v>
      </c>
      <c r="J668" s="212">
        <v>26911</v>
      </c>
    </row>
    <row r="669" spans="1:10" ht="14.1" customHeight="1" x14ac:dyDescent="0.15">
      <c r="A669" s="221"/>
      <c r="B669" s="221"/>
      <c r="C669" s="221"/>
      <c r="D669" s="210" t="s">
        <v>78</v>
      </c>
      <c r="E669" s="212">
        <v>7</v>
      </c>
      <c r="F669" s="212">
        <v>13127</v>
      </c>
      <c r="G669" s="212">
        <v>91889</v>
      </c>
      <c r="H669" s="212">
        <v>0</v>
      </c>
      <c r="I669" s="212">
        <v>0</v>
      </c>
      <c r="J669" s="212">
        <v>91889</v>
      </c>
    </row>
    <row r="670" spans="1:10" ht="14.1" customHeight="1" x14ac:dyDescent="0.15">
      <c r="A670" s="221"/>
      <c r="B670" s="221"/>
      <c r="C670" s="221"/>
      <c r="D670" s="210" t="s">
        <v>136</v>
      </c>
      <c r="E670" s="212">
        <v>1</v>
      </c>
      <c r="F670" s="212">
        <v>6828</v>
      </c>
      <c r="G670" s="212">
        <v>6828</v>
      </c>
      <c r="H670" s="212">
        <v>0</v>
      </c>
      <c r="I670" s="212">
        <v>0</v>
      </c>
      <c r="J670" s="212">
        <v>6828</v>
      </c>
    </row>
    <row r="671" spans="1:10" ht="14.1" customHeight="1" x14ac:dyDescent="0.15">
      <c r="A671" s="221"/>
      <c r="B671" s="221"/>
      <c r="C671" s="221"/>
      <c r="D671" s="210" t="s">
        <v>77</v>
      </c>
      <c r="E671" s="212">
        <v>1</v>
      </c>
      <c r="F671" s="212">
        <v>6828</v>
      </c>
      <c r="G671" s="212">
        <v>6828</v>
      </c>
      <c r="H671" s="212">
        <v>0</v>
      </c>
      <c r="I671" s="212">
        <v>0</v>
      </c>
      <c r="J671" s="212">
        <v>6828</v>
      </c>
    </row>
    <row r="672" spans="1:10" ht="14.1" customHeight="1" x14ac:dyDescent="0.15">
      <c r="A672" s="221"/>
      <c r="B672" s="221"/>
      <c r="C672" s="221"/>
      <c r="D672" s="210" t="s">
        <v>142</v>
      </c>
      <c r="E672" s="212">
        <v>1</v>
      </c>
      <c r="F672" s="212">
        <v>4097</v>
      </c>
      <c r="G672" s="212">
        <v>4097</v>
      </c>
      <c r="H672" s="212">
        <v>0</v>
      </c>
      <c r="I672" s="212">
        <v>0</v>
      </c>
      <c r="J672" s="212">
        <v>4097</v>
      </c>
    </row>
    <row r="673" spans="1:10" ht="29.1" customHeight="1" x14ac:dyDescent="0.15">
      <c r="A673" s="221"/>
      <c r="B673" s="221"/>
      <c r="C673" s="222" t="s">
        <v>159</v>
      </c>
      <c r="D673" s="210" t="s">
        <v>79</v>
      </c>
      <c r="E673" s="212">
        <v>6</v>
      </c>
      <c r="F673" s="212">
        <v>28332</v>
      </c>
      <c r="G673" s="212">
        <v>169992</v>
      </c>
      <c r="H673" s="212">
        <v>1421</v>
      </c>
      <c r="I673" s="212">
        <v>8526</v>
      </c>
      <c r="J673" s="212">
        <v>161466</v>
      </c>
    </row>
    <row r="674" spans="1:10" ht="14.1" customHeight="1" x14ac:dyDescent="0.15">
      <c r="A674" s="221"/>
      <c r="B674" s="221"/>
      <c r="C674" s="221"/>
      <c r="D674" s="210" t="s">
        <v>73</v>
      </c>
      <c r="E674" s="212">
        <v>1</v>
      </c>
      <c r="F674" s="212">
        <v>14548</v>
      </c>
      <c r="G674" s="212">
        <v>14548</v>
      </c>
      <c r="H674" s="212">
        <v>1421</v>
      </c>
      <c r="I674" s="212">
        <v>1421</v>
      </c>
      <c r="J674" s="212">
        <v>13127</v>
      </c>
    </row>
    <row r="675" spans="1:10" ht="14.1" customHeight="1" x14ac:dyDescent="0.15">
      <c r="A675" s="221"/>
      <c r="B675" s="221"/>
      <c r="C675" s="221"/>
      <c r="D675" s="210" t="s">
        <v>74</v>
      </c>
      <c r="E675" s="212">
        <v>2</v>
      </c>
      <c r="F675" s="212">
        <v>11461</v>
      </c>
      <c r="G675" s="212">
        <v>22922</v>
      </c>
      <c r="H675" s="212">
        <v>1421</v>
      </c>
      <c r="I675" s="212">
        <v>2842</v>
      </c>
      <c r="J675" s="212">
        <v>20080</v>
      </c>
    </row>
    <row r="676" spans="1:10" ht="14.1" customHeight="1" x14ac:dyDescent="0.15">
      <c r="A676" s="221"/>
      <c r="B676" s="221"/>
      <c r="C676" s="221"/>
      <c r="D676" s="210" t="s">
        <v>71</v>
      </c>
      <c r="E676" s="212">
        <v>3</v>
      </c>
      <c r="F676" s="212">
        <v>8249</v>
      </c>
      <c r="G676" s="212">
        <v>24747</v>
      </c>
      <c r="H676" s="212">
        <v>1421</v>
      </c>
      <c r="I676" s="212">
        <v>4263</v>
      </c>
      <c r="J676" s="212">
        <v>20484</v>
      </c>
    </row>
    <row r="677" spans="1:10" ht="14.1" customHeight="1" x14ac:dyDescent="0.15">
      <c r="A677" s="221"/>
      <c r="B677" s="221"/>
      <c r="C677" s="221"/>
      <c r="D677" s="210" t="s">
        <v>139</v>
      </c>
      <c r="E677" s="212">
        <v>1</v>
      </c>
      <c r="F677" s="212">
        <v>5518</v>
      </c>
      <c r="G677" s="212">
        <v>5518</v>
      </c>
      <c r="H677" s="212">
        <v>1421</v>
      </c>
      <c r="I677" s="212">
        <v>1421</v>
      </c>
      <c r="J677" s="212">
        <v>4097</v>
      </c>
    </row>
    <row r="678" spans="1:10" ht="14.1" customHeight="1" x14ac:dyDescent="0.15">
      <c r="A678" s="221"/>
      <c r="B678" s="221"/>
      <c r="C678" s="221"/>
      <c r="D678" s="210" t="s">
        <v>140</v>
      </c>
      <c r="E678" s="212">
        <v>2</v>
      </c>
      <c r="F678" s="212">
        <v>6524</v>
      </c>
      <c r="G678" s="212">
        <v>13048</v>
      </c>
      <c r="H678" s="212">
        <v>1421</v>
      </c>
      <c r="I678" s="212">
        <v>2842</v>
      </c>
      <c r="J678" s="212">
        <v>10206</v>
      </c>
    </row>
    <row r="679" spans="1:10" ht="29.1" customHeight="1" x14ac:dyDescent="0.15">
      <c r="A679" s="221"/>
      <c r="B679" s="221"/>
      <c r="C679" s="209" t="s">
        <v>160</v>
      </c>
      <c r="D679" s="210" t="s">
        <v>139</v>
      </c>
      <c r="E679" s="212">
        <v>50</v>
      </c>
      <c r="F679" s="212">
        <v>5291</v>
      </c>
      <c r="G679" s="212">
        <v>264555</v>
      </c>
      <c r="H679" s="212">
        <v>1367</v>
      </c>
      <c r="I679" s="212">
        <v>68350</v>
      </c>
      <c r="J679" s="212">
        <v>196205</v>
      </c>
    </row>
    <row r="680" spans="1:10" ht="29.1" customHeight="1" x14ac:dyDescent="0.15">
      <c r="A680" s="221"/>
      <c r="B680" s="221"/>
      <c r="C680" s="222" t="s">
        <v>161</v>
      </c>
      <c r="D680" s="210" t="s">
        <v>70</v>
      </c>
      <c r="E680" s="212">
        <v>17</v>
      </c>
      <c r="F680" s="212">
        <v>3267</v>
      </c>
      <c r="G680" s="212">
        <v>55539</v>
      </c>
      <c r="H680" s="212">
        <v>702</v>
      </c>
      <c r="I680" s="212">
        <v>11934</v>
      </c>
      <c r="J680" s="212">
        <v>43605</v>
      </c>
    </row>
    <row r="681" spans="1:10" ht="14.1" customHeight="1" x14ac:dyDescent="0.15">
      <c r="A681" s="221"/>
      <c r="B681" s="221"/>
      <c r="C681" s="221"/>
      <c r="D681" s="210" t="s">
        <v>79</v>
      </c>
      <c r="E681" s="212">
        <v>451</v>
      </c>
      <c r="F681" s="212">
        <v>27613</v>
      </c>
      <c r="G681" s="212">
        <v>12453463</v>
      </c>
      <c r="H681" s="212">
        <v>702</v>
      </c>
      <c r="I681" s="212">
        <v>316602</v>
      </c>
      <c r="J681" s="212">
        <v>12136861</v>
      </c>
    </row>
    <row r="682" spans="1:10" ht="14.1" customHeight="1" x14ac:dyDescent="0.15">
      <c r="A682" s="221"/>
      <c r="B682" s="221"/>
      <c r="C682" s="221"/>
      <c r="D682" s="210" t="s">
        <v>73</v>
      </c>
      <c r="E682" s="212">
        <v>702</v>
      </c>
      <c r="F682" s="212">
        <v>13829</v>
      </c>
      <c r="G682" s="212">
        <v>9707958</v>
      </c>
      <c r="H682" s="212">
        <v>702</v>
      </c>
      <c r="I682" s="212">
        <v>492804</v>
      </c>
      <c r="J682" s="212">
        <v>9215154</v>
      </c>
    </row>
    <row r="683" spans="1:10" ht="14.1" customHeight="1" x14ac:dyDescent="0.15">
      <c r="A683" s="221"/>
      <c r="B683" s="221"/>
      <c r="C683" s="221"/>
      <c r="D683" s="210" t="s">
        <v>74</v>
      </c>
      <c r="E683" s="212">
        <v>134</v>
      </c>
      <c r="F683" s="212">
        <v>10742</v>
      </c>
      <c r="G683" s="212">
        <v>1439428</v>
      </c>
      <c r="H683" s="212">
        <v>702</v>
      </c>
      <c r="I683" s="212">
        <v>94068</v>
      </c>
      <c r="J683" s="212">
        <v>1345360</v>
      </c>
    </row>
    <row r="684" spans="1:10" ht="14.1" customHeight="1" x14ac:dyDescent="0.15">
      <c r="A684" s="221"/>
      <c r="B684" s="221"/>
      <c r="C684" s="221"/>
      <c r="D684" s="210" t="s">
        <v>71</v>
      </c>
      <c r="E684" s="212">
        <v>603</v>
      </c>
      <c r="F684" s="212">
        <v>7530</v>
      </c>
      <c r="G684" s="212">
        <v>4540590</v>
      </c>
      <c r="H684" s="212">
        <v>702</v>
      </c>
      <c r="I684" s="212">
        <v>423306</v>
      </c>
      <c r="J684" s="212">
        <v>4117284</v>
      </c>
    </row>
    <row r="685" spans="1:10" ht="14.1" customHeight="1" x14ac:dyDescent="0.15">
      <c r="A685" s="221"/>
      <c r="B685" s="221"/>
      <c r="C685" s="221"/>
      <c r="D685" s="210" t="s">
        <v>82</v>
      </c>
      <c r="E685" s="212">
        <v>1</v>
      </c>
      <c r="F685" s="212">
        <v>3112</v>
      </c>
      <c r="G685" s="212">
        <v>3112</v>
      </c>
      <c r="H685" s="212">
        <v>702</v>
      </c>
      <c r="I685" s="212">
        <v>702</v>
      </c>
      <c r="J685" s="212">
        <v>2410</v>
      </c>
    </row>
    <row r="686" spans="1:10" ht="14.1" customHeight="1" x14ac:dyDescent="0.15">
      <c r="A686" s="221"/>
      <c r="B686" s="221"/>
      <c r="C686" s="221"/>
      <c r="D686" s="210" t="s">
        <v>139</v>
      </c>
      <c r="E686" s="212">
        <v>7</v>
      </c>
      <c r="F686" s="212">
        <v>4799</v>
      </c>
      <c r="G686" s="212">
        <v>33593</v>
      </c>
      <c r="H686" s="212">
        <v>702</v>
      </c>
      <c r="I686" s="212">
        <v>4914</v>
      </c>
      <c r="J686" s="212">
        <v>28679</v>
      </c>
    </row>
    <row r="687" spans="1:10" ht="14.1" customHeight="1" x14ac:dyDescent="0.15">
      <c r="A687" s="221"/>
      <c r="B687" s="221"/>
      <c r="C687" s="221"/>
      <c r="D687" s="210" t="s">
        <v>140</v>
      </c>
      <c r="E687" s="212">
        <v>161</v>
      </c>
      <c r="F687" s="212">
        <v>5805</v>
      </c>
      <c r="G687" s="212">
        <v>934605</v>
      </c>
      <c r="H687" s="212">
        <v>702</v>
      </c>
      <c r="I687" s="212">
        <v>113022</v>
      </c>
      <c r="J687" s="212">
        <v>821583</v>
      </c>
    </row>
    <row r="688" spans="1:10" ht="14.1" customHeight="1" x14ac:dyDescent="0.15">
      <c r="A688" s="221"/>
      <c r="B688" s="220" t="s">
        <v>168</v>
      </c>
      <c r="C688" s="223" t="s">
        <v>67</v>
      </c>
      <c r="D688" s="210" t="s">
        <v>136</v>
      </c>
      <c r="E688" s="212">
        <v>4</v>
      </c>
      <c r="F688" s="212">
        <v>6828</v>
      </c>
      <c r="G688" s="212">
        <v>27312</v>
      </c>
      <c r="H688" s="212">
        <v>925</v>
      </c>
      <c r="I688" s="212">
        <v>3700</v>
      </c>
      <c r="J688" s="212">
        <v>23612</v>
      </c>
    </row>
    <row r="689" spans="1:10" ht="14.1" customHeight="1" x14ac:dyDescent="0.15">
      <c r="A689" s="221"/>
      <c r="B689" s="221"/>
      <c r="C689" s="221"/>
      <c r="D689" s="210" t="s">
        <v>77</v>
      </c>
      <c r="E689" s="212">
        <v>2</v>
      </c>
      <c r="F689" s="212">
        <v>6828</v>
      </c>
      <c r="G689" s="212">
        <v>13656</v>
      </c>
      <c r="H689" s="212">
        <v>925</v>
      </c>
      <c r="I689" s="212">
        <v>1850</v>
      </c>
      <c r="J689" s="212">
        <v>11806</v>
      </c>
    </row>
    <row r="690" spans="1:10" ht="29.1" customHeight="1" x14ac:dyDescent="0.15">
      <c r="A690" s="221"/>
      <c r="B690" s="221"/>
      <c r="C690" s="209" t="s">
        <v>159</v>
      </c>
      <c r="D690" s="210" t="s">
        <v>71</v>
      </c>
      <c r="E690" s="212">
        <v>36</v>
      </c>
      <c r="F690" s="212">
        <v>8249</v>
      </c>
      <c r="G690" s="212">
        <v>296964</v>
      </c>
      <c r="H690" s="212">
        <v>2346</v>
      </c>
      <c r="I690" s="212">
        <v>84456</v>
      </c>
      <c r="J690" s="212">
        <v>212508</v>
      </c>
    </row>
    <row r="691" spans="1:10" ht="29.1" customHeight="1" x14ac:dyDescent="0.15">
      <c r="A691" s="221"/>
      <c r="B691" s="221"/>
      <c r="C691" s="222" t="s">
        <v>161</v>
      </c>
      <c r="D691" s="210" t="s">
        <v>79</v>
      </c>
      <c r="E691" s="212">
        <v>44</v>
      </c>
      <c r="F691" s="212">
        <v>27613</v>
      </c>
      <c r="G691" s="212">
        <v>1214972</v>
      </c>
      <c r="H691" s="212">
        <v>1627</v>
      </c>
      <c r="I691" s="212">
        <v>71588</v>
      </c>
      <c r="J691" s="212">
        <v>1143384</v>
      </c>
    </row>
    <row r="692" spans="1:10" ht="14.1" customHeight="1" x14ac:dyDescent="0.15">
      <c r="A692" s="221"/>
      <c r="B692" s="221"/>
      <c r="C692" s="221"/>
      <c r="D692" s="210" t="s">
        <v>71</v>
      </c>
      <c r="E692" s="212">
        <v>1195</v>
      </c>
      <c r="F692" s="212">
        <v>7530</v>
      </c>
      <c r="G692" s="212">
        <v>8998350</v>
      </c>
      <c r="H692" s="212">
        <v>1627</v>
      </c>
      <c r="I692" s="212">
        <v>1944265</v>
      </c>
      <c r="J692" s="212">
        <v>7054085</v>
      </c>
    </row>
    <row r="693" spans="1:10" ht="29.1" customHeight="1" x14ac:dyDescent="0.15">
      <c r="A693" s="222" t="s">
        <v>116</v>
      </c>
      <c r="B693" s="221" t="s">
        <v>53</v>
      </c>
      <c r="C693" s="221"/>
      <c r="D693" s="221"/>
      <c r="E693" s="212">
        <v>26025</v>
      </c>
      <c r="F693" s="212">
        <v>909985</v>
      </c>
      <c r="G693" s="212">
        <v>300460309</v>
      </c>
      <c r="H693" s="212"/>
      <c r="I693" s="212">
        <v>34625272</v>
      </c>
      <c r="J693" s="212">
        <v>265835037</v>
      </c>
    </row>
    <row r="694" spans="1:10" ht="14.1" customHeight="1" x14ac:dyDescent="0.15">
      <c r="A694" s="221"/>
      <c r="B694" s="210" t="s">
        <v>63</v>
      </c>
      <c r="C694" s="210" t="s">
        <v>64</v>
      </c>
      <c r="D694" s="210" t="s">
        <v>65</v>
      </c>
      <c r="E694" s="218">
        <v>50</v>
      </c>
      <c r="F694" s="218">
        <v>10139</v>
      </c>
      <c r="G694" s="218">
        <v>506950</v>
      </c>
      <c r="H694" s="218">
        <v>0</v>
      </c>
      <c r="I694" s="218">
        <v>0</v>
      </c>
      <c r="J694" s="218">
        <v>506950</v>
      </c>
    </row>
    <row r="695" spans="1:10" ht="14.1" customHeight="1" x14ac:dyDescent="0.15">
      <c r="A695" s="221"/>
      <c r="B695" s="220" t="s">
        <v>66</v>
      </c>
      <c r="C695" s="223" t="s">
        <v>67</v>
      </c>
      <c r="D695" s="210" t="s">
        <v>134</v>
      </c>
      <c r="E695" s="219"/>
      <c r="F695" s="219"/>
      <c r="G695" s="219"/>
      <c r="H695" s="219"/>
      <c r="I695" s="219"/>
      <c r="J695" s="219"/>
    </row>
    <row r="696" spans="1:10" ht="14.1" customHeight="1" x14ac:dyDescent="0.15">
      <c r="A696" s="221"/>
      <c r="B696" s="221"/>
      <c r="C696" s="221"/>
      <c r="D696" s="210" t="s">
        <v>132</v>
      </c>
      <c r="E696" s="212">
        <v>20</v>
      </c>
      <c r="F696" s="212">
        <v>10139</v>
      </c>
      <c r="G696" s="212">
        <v>202780</v>
      </c>
      <c r="H696" s="212">
        <v>0</v>
      </c>
      <c r="I696" s="212">
        <v>0</v>
      </c>
      <c r="J696" s="212">
        <v>202780</v>
      </c>
    </row>
    <row r="697" spans="1:10" ht="29.1" customHeight="1" x14ac:dyDescent="0.15">
      <c r="A697" s="221"/>
      <c r="B697" s="221"/>
      <c r="C697" s="209" t="s">
        <v>159</v>
      </c>
      <c r="D697" s="210" t="s">
        <v>133</v>
      </c>
      <c r="E697" s="212">
        <v>9</v>
      </c>
      <c r="F697" s="212">
        <v>11560</v>
      </c>
      <c r="G697" s="212">
        <v>104040</v>
      </c>
      <c r="H697" s="212">
        <v>2346</v>
      </c>
      <c r="I697" s="212">
        <v>21114</v>
      </c>
      <c r="J697" s="212">
        <v>82926</v>
      </c>
    </row>
    <row r="698" spans="1:10" ht="29.1" customHeight="1" x14ac:dyDescent="0.15">
      <c r="A698" s="221"/>
      <c r="B698" s="221"/>
      <c r="C698" s="209" t="s">
        <v>161</v>
      </c>
      <c r="D698" s="210" t="s">
        <v>133</v>
      </c>
      <c r="E698" s="212">
        <v>2502</v>
      </c>
      <c r="F698" s="212">
        <v>10841</v>
      </c>
      <c r="G698" s="212">
        <v>27124182</v>
      </c>
      <c r="H698" s="212">
        <v>1627</v>
      </c>
      <c r="I698" s="212">
        <v>4070754</v>
      </c>
      <c r="J698" s="212">
        <v>23053428</v>
      </c>
    </row>
    <row r="699" spans="1:10" ht="29.1" customHeight="1" x14ac:dyDescent="0.15">
      <c r="A699" s="221"/>
      <c r="B699" s="220" t="s">
        <v>76</v>
      </c>
      <c r="C699" s="222" t="s">
        <v>159</v>
      </c>
      <c r="D699" s="210" t="s">
        <v>71</v>
      </c>
      <c r="E699" s="212">
        <v>1</v>
      </c>
      <c r="F699" s="212">
        <v>8249</v>
      </c>
      <c r="G699" s="212">
        <v>8249</v>
      </c>
      <c r="H699" s="212">
        <v>1421</v>
      </c>
      <c r="I699" s="212">
        <v>1421</v>
      </c>
      <c r="J699" s="212">
        <v>6828</v>
      </c>
    </row>
    <row r="700" spans="1:10" ht="14.1" customHeight="1" x14ac:dyDescent="0.15">
      <c r="A700" s="221"/>
      <c r="B700" s="221"/>
      <c r="C700" s="221"/>
      <c r="D700" s="210" t="s">
        <v>91</v>
      </c>
      <c r="E700" s="212">
        <v>140</v>
      </c>
      <c r="F700" s="212">
        <v>8370</v>
      </c>
      <c r="G700" s="212">
        <v>1171800</v>
      </c>
      <c r="H700" s="212">
        <v>1421</v>
      </c>
      <c r="I700" s="212">
        <v>198940</v>
      </c>
      <c r="J700" s="212">
        <v>972860</v>
      </c>
    </row>
    <row r="701" spans="1:10" ht="29.1" customHeight="1" x14ac:dyDescent="0.15">
      <c r="A701" s="221"/>
      <c r="B701" s="221"/>
      <c r="C701" s="222" t="s">
        <v>161</v>
      </c>
      <c r="D701" s="210" t="s">
        <v>71</v>
      </c>
      <c r="E701" s="212">
        <v>3387</v>
      </c>
      <c r="F701" s="212">
        <v>7530</v>
      </c>
      <c r="G701" s="212">
        <v>25504110</v>
      </c>
      <c r="H701" s="212">
        <v>702</v>
      </c>
      <c r="I701" s="212">
        <v>2377674</v>
      </c>
      <c r="J701" s="212">
        <v>23126436</v>
      </c>
    </row>
    <row r="702" spans="1:10" ht="14.1" customHeight="1" x14ac:dyDescent="0.15">
      <c r="A702" s="221"/>
      <c r="B702" s="221"/>
      <c r="C702" s="221"/>
      <c r="D702" s="210" t="s">
        <v>91</v>
      </c>
      <c r="E702" s="212">
        <v>1056</v>
      </c>
      <c r="F702" s="212">
        <v>7651</v>
      </c>
      <c r="G702" s="212">
        <v>8079456</v>
      </c>
      <c r="H702" s="212">
        <v>702</v>
      </c>
      <c r="I702" s="212">
        <v>741312</v>
      </c>
      <c r="J702" s="212">
        <v>7338144</v>
      </c>
    </row>
    <row r="703" spans="1:10" ht="14.1" customHeight="1" x14ac:dyDescent="0.15">
      <c r="A703" s="221"/>
      <c r="B703" s="220" t="s">
        <v>162</v>
      </c>
      <c r="C703" s="223" t="s">
        <v>108</v>
      </c>
      <c r="D703" s="210" t="s">
        <v>163</v>
      </c>
      <c r="E703" s="212">
        <v>1</v>
      </c>
      <c r="F703" s="212">
        <v>23712</v>
      </c>
      <c r="G703" s="212">
        <v>23712</v>
      </c>
      <c r="H703" s="212">
        <v>3932</v>
      </c>
      <c r="I703" s="212">
        <v>3932</v>
      </c>
      <c r="J703" s="212">
        <v>19780</v>
      </c>
    </row>
    <row r="704" spans="1:10" ht="14.1" customHeight="1" x14ac:dyDescent="0.15">
      <c r="A704" s="221"/>
      <c r="B704" s="221"/>
      <c r="C704" s="221"/>
      <c r="D704" s="210" t="s">
        <v>165</v>
      </c>
      <c r="E704" s="212">
        <v>177</v>
      </c>
      <c r="F704" s="212">
        <v>20422</v>
      </c>
      <c r="G704" s="212">
        <v>3614694</v>
      </c>
      <c r="H704" s="212">
        <v>3932</v>
      </c>
      <c r="I704" s="212">
        <v>695964</v>
      </c>
      <c r="J704" s="212">
        <v>2918730</v>
      </c>
    </row>
    <row r="705" spans="1:10" ht="29.1" customHeight="1" x14ac:dyDescent="0.15">
      <c r="A705" s="221"/>
      <c r="B705" s="222" t="s">
        <v>167</v>
      </c>
      <c r="C705" s="223" t="s">
        <v>67</v>
      </c>
      <c r="D705" s="210" t="s">
        <v>145</v>
      </c>
      <c r="E705" s="212">
        <v>4</v>
      </c>
      <c r="F705" s="212">
        <v>26911</v>
      </c>
      <c r="G705" s="212">
        <v>107644</v>
      </c>
      <c r="H705" s="212">
        <v>0</v>
      </c>
      <c r="I705" s="212">
        <v>0</v>
      </c>
      <c r="J705" s="212">
        <v>107644</v>
      </c>
    </row>
    <row r="706" spans="1:10" ht="14.1" customHeight="1" x14ac:dyDescent="0.15">
      <c r="A706" s="221"/>
      <c r="B706" s="221"/>
      <c r="C706" s="221"/>
      <c r="D706" s="210" t="s">
        <v>85</v>
      </c>
      <c r="E706" s="212">
        <v>2</v>
      </c>
      <c r="F706" s="212">
        <v>26911</v>
      </c>
      <c r="G706" s="212">
        <v>53822</v>
      </c>
      <c r="H706" s="212">
        <v>0</v>
      </c>
      <c r="I706" s="212">
        <v>0</v>
      </c>
      <c r="J706" s="212">
        <v>53822</v>
      </c>
    </row>
    <row r="707" spans="1:10" ht="14.1" customHeight="1" x14ac:dyDescent="0.15">
      <c r="A707" s="221"/>
      <c r="B707" s="221"/>
      <c r="C707" s="221"/>
      <c r="D707" s="210" t="s">
        <v>141</v>
      </c>
      <c r="E707" s="212">
        <v>6</v>
      </c>
      <c r="F707" s="212">
        <v>13127</v>
      </c>
      <c r="G707" s="212">
        <v>78762</v>
      </c>
      <c r="H707" s="212">
        <v>0</v>
      </c>
      <c r="I707" s="212">
        <v>0</v>
      </c>
      <c r="J707" s="212">
        <v>78762</v>
      </c>
    </row>
    <row r="708" spans="1:10" ht="14.1" customHeight="1" x14ac:dyDescent="0.15">
      <c r="A708" s="221"/>
      <c r="B708" s="221"/>
      <c r="C708" s="221"/>
      <c r="D708" s="210" t="s">
        <v>78</v>
      </c>
      <c r="E708" s="212">
        <v>3</v>
      </c>
      <c r="F708" s="212">
        <v>13127</v>
      </c>
      <c r="G708" s="212">
        <v>39381</v>
      </c>
      <c r="H708" s="212">
        <v>0</v>
      </c>
      <c r="I708" s="212">
        <v>0</v>
      </c>
      <c r="J708" s="212">
        <v>39381</v>
      </c>
    </row>
    <row r="709" spans="1:10" ht="14.1" customHeight="1" x14ac:dyDescent="0.15">
      <c r="A709" s="221"/>
      <c r="B709" s="221"/>
      <c r="C709" s="221"/>
      <c r="D709" s="210" t="s">
        <v>136</v>
      </c>
      <c r="E709" s="212">
        <v>5</v>
      </c>
      <c r="F709" s="212">
        <v>6828</v>
      </c>
      <c r="G709" s="212">
        <v>34140</v>
      </c>
      <c r="H709" s="212">
        <v>0</v>
      </c>
      <c r="I709" s="212">
        <v>0</v>
      </c>
      <c r="J709" s="212">
        <v>34140</v>
      </c>
    </row>
    <row r="710" spans="1:10" ht="14.1" customHeight="1" x14ac:dyDescent="0.15">
      <c r="A710" s="221"/>
      <c r="B710" s="221"/>
      <c r="C710" s="221"/>
      <c r="D710" s="210" t="s">
        <v>77</v>
      </c>
      <c r="E710" s="212">
        <v>17</v>
      </c>
      <c r="F710" s="212">
        <v>6828</v>
      </c>
      <c r="G710" s="212">
        <v>116076</v>
      </c>
      <c r="H710" s="212">
        <v>0</v>
      </c>
      <c r="I710" s="212">
        <v>0</v>
      </c>
      <c r="J710" s="212">
        <v>116076</v>
      </c>
    </row>
    <row r="711" spans="1:10" ht="14.1" customHeight="1" x14ac:dyDescent="0.15">
      <c r="A711" s="221"/>
      <c r="B711" s="221"/>
      <c r="C711" s="221"/>
      <c r="D711" s="210" t="s">
        <v>153</v>
      </c>
      <c r="E711" s="212">
        <v>14</v>
      </c>
      <c r="F711" s="212">
        <v>24193</v>
      </c>
      <c r="G711" s="212">
        <v>338702</v>
      </c>
      <c r="H711" s="212">
        <v>0</v>
      </c>
      <c r="I711" s="212">
        <v>0</v>
      </c>
      <c r="J711" s="212">
        <v>338702</v>
      </c>
    </row>
    <row r="712" spans="1:10" ht="14.1" customHeight="1" x14ac:dyDescent="0.15">
      <c r="A712" s="221"/>
      <c r="B712" s="221"/>
      <c r="C712" s="221"/>
      <c r="D712" s="210" t="s">
        <v>142</v>
      </c>
      <c r="E712" s="212">
        <v>1</v>
      </c>
      <c r="F712" s="212">
        <v>4097</v>
      </c>
      <c r="G712" s="212">
        <v>4097</v>
      </c>
      <c r="H712" s="212">
        <v>0</v>
      </c>
      <c r="I712" s="212">
        <v>0</v>
      </c>
      <c r="J712" s="212">
        <v>4097</v>
      </c>
    </row>
    <row r="713" spans="1:10" ht="14.1" customHeight="1" x14ac:dyDescent="0.15">
      <c r="A713" s="221"/>
      <c r="B713" s="221"/>
      <c r="C713" s="221"/>
      <c r="D713" s="210" t="s">
        <v>138</v>
      </c>
      <c r="E713" s="212">
        <v>21</v>
      </c>
      <c r="F713" s="212">
        <v>5103</v>
      </c>
      <c r="G713" s="212">
        <v>107163</v>
      </c>
      <c r="H713" s="212">
        <v>0</v>
      </c>
      <c r="I713" s="212">
        <v>0</v>
      </c>
      <c r="J713" s="212">
        <v>107163</v>
      </c>
    </row>
    <row r="714" spans="1:10" ht="29.1" customHeight="1" x14ac:dyDescent="0.15">
      <c r="A714" s="221"/>
      <c r="B714" s="221"/>
      <c r="C714" s="222" t="s">
        <v>159</v>
      </c>
      <c r="D714" s="210" t="s">
        <v>79</v>
      </c>
      <c r="E714" s="212">
        <v>1</v>
      </c>
      <c r="F714" s="212">
        <v>28332</v>
      </c>
      <c r="G714" s="212">
        <v>28332</v>
      </c>
      <c r="H714" s="212">
        <v>1421</v>
      </c>
      <c r="I714" s="212">
        <v>1421</v>
      </c>
      <c r="J714" s="212">
        <v>26911</v>
      </c>
    </row>
    <row r="715" spans="1:10" ht="14.1" customHeight="1" x14ac:dyDescent="0.15">
      <c r="A715" s="221"/>
      <c r="B715" s="221"/>
      <c r="C715" s="221"/>
      <c r="D715" s="210" t="s">
        <v>73</v>
      </c>
      <c r="E715" s="212">
        <v>1</v>
      </c>
      <c r="F715" s="212">
        <v>14548</v>
      </c>
      <c r="G715" s="212">
        <v>14548</v>
      </c>
      <c r="H715" s="212">
        <v>1421</v>
      </c>
      <c r="I715" s="212">
        <v>1421</v>
      </c>
      <c r="J715" s="212">
        <v>13127</v>
      </c>
    </row>
    <row r="716" spans="1:10" ht="14.1" customHeight="1" x14ac:dyDescent="0.15">
      <c r="A716" s="221"/>
      <c r="B716" s="221"/>
      <c r="C716" s="221"/>
      <c r="D716" s="210" t="s">
        <v>69</v>
      </c>
      <c r="E716" s="212">
        <v>1</v>
      </c>
      <c r="F716" s="212">
        <v>25614</v>
      </c>
      <c r="G716" s="212">
        <v>25614</v>
      </c>
      <c r="H716" s="212">
        <v>1421</v>
      </c>
      <c r="I716" s="212">
        <v>1421</v>
      </c>
      <c r="J716" s="212">
        <v>24193</v>
      </c>
    </row>
    <row r="717" spans="1:10" ht="14.1" customHeight="1" x14ac:dyDescent="0.15">
      <c r="A717" s="221"/>
      <c r="B717" s="221"/>
      <c r="C717" s="221"/>
      <c r="D717" s="210" t="s">
        <v>139</v>
      </c>
      <c r="E717" s="212">
        <v>13</v>
      </c>
      <c r="F717" s="212">
        <v>5518</v>
      </c>
      <c r="G717" s="212">
        <v>71734</v>
      </c>
      <c r="H717" s="212">
        <v>1421</v>
      </c>
      <c r="I717" s="212">
        <v>18473</v>
      </c>
      <c r="J717" s="212">
        <v>53261</v>
      </c>
    </row>
    <row r="718" spans="1:10" ht="29.1" customHeight="1" x14ac:dyDescent="0.15">
      <c r="A718" s="221"/>
      <c r="B718" s="221"/>
      <c r="C718" s="222" t="s">
        <v>161</v>
      </c>
      <c r="D718" s="210" t="s">
        <v>101</v>
      </c>
      <c r="E718" s="212">
        <v>9</v>
      </c>
      <c r="F718" s="212">
        <v>45688</v>
      </c>
      <c r="G718" s="212">
        <v>411192</v>
      </c>
      <c r="H718" s="212">
        <v>702</v>
      </c>
      <c r="I718" s="212">
        <v>6318</v>
      </c>
      <c r="J718" s="212">
        <v>404874</v>
      </c>
    </row>
    <row r="719" spans="1:10" ht="14.1" customHeight="1" x14ac:dyDescent="0.15">
      <c r="A719" s="221"/>
      <c r="B719" s="221"/>
      <c r="C719" s="221"/>
      <c r="D719" s="210" t="s">
        <v>79</v>
      </c>
      <c r="E719" s="212">
        <v>602</v>
      </c>
      <c r="F719" s="212">
        <v>27613</v>
      </c>
      <c r="G719" s="212">
        <v>16623026</v>
      </c>
      <c r="H719" s="212">
        <v>702</v>
      </c>
      <c r="I719" s="212">
        <v>422604</v>
      </c>
      <c r="J719" s="212">
        <v>16200422</v>
      </c>
    </row>
    <row r="720" spans="1:10" ht="14.1" customHeight="1" x14ac:dyDescent="0.15">
      <c r="A720" s="221"/>
      <c r="B720" s="221"/>
      <c r="C720" s="221"/>
      <c r="D720" s="210" t="s">
        <v>73</v>
      </c>
      <c r="E720" s="212">
        <v>1194</v>
      </c>
      <c r="F720" s="212">
        <v>13829</v>
      </c>
      <c r="G720" s="212">
        <v>16511826</v>
      </c>
      <c r="H720" s="212">
        <v>702</v>
      </c>
      <c r="I720" s="212">
        <v>838188</v>
      </c>
      <c r="J720" s="212">
        <v>15673638</v>
      </c>
    </row>
    <row r="721" spans="1:10" ht="14.1" customHeight="1" x14ac:dyDescent="0.15">
      <c r="A721" s="221"/>
      <c r="B721" s="221"/>
      <c r="C721" s="221"/>
      <c r="D721" s="210" t="s">
        <v>74</v>
      </c>
      <c r="E721" s="212">
        <v>499</v>
      </c>
      <c r="F721" s="212">
        <v>10742</v>
      </c>
      <c r="G721" s="212">
        <v>5360258</v>
      </c>
      <c r="H721" s="212">
        <v>702</v>
      </c>
      <c r="I721" s="212">
        <v>350298</v>
      </c>
      <c r="J721" s="212">
        <v>5009960</v>
      </c>
    </row>
    <row r="722" spans="1:10" ht="14.1" customHeight="1" x14ac:dyDescent="0.15">
      <c r="A722" s="221"/>
      <c r="B722" s="221"/>
      <c r="C722" s="221"/>
      <c r="D722" s="210" t="s">
        <v>71</v>
      </c>
      <c r="E722" s="212">
        <v>171</v>
      </c>
      <c r="F722" s="212">
        <v>7530</v>
      </c>
      <c r="G722" s="212">
        <v>1287630</v>
      </c>
      <c r="H722" s="212">
        <v>702</v>
      </c>
      <c r="I722" s="212">
        <v>120042</v>
      </c>
      <c r="J722" s="212">
        <v>1167588</v>
      </c>
    </row>
    <row r="723" spans="1:10" ht="14.1" customHeight="1" x14ac:dyDescent="0.15">
      <c r="A723" s="221"/>
      <c r="B723" s="221"/>
      <c r="C723" s="221"/>
      <c r="D723" s="210" t="s">
        <v>75</v>
      </c>
      <c r="E723" s="212">
        <v>5</v>
      </c>
      <c r="F723" s="212">
        <v>1907</v>
      </c>
      <c r="G723" s="212">
        <v>9535</v>
      </c>
      <c r="H723" s="212">
        <v>702</v>
      </c>
      <c r="I723" s="212">
        <v>3510</v>
      </c>
      <c r="J723" s="212">
        <v>6025</v>
      </c>
    </row>
    <row r="724" spans="1:10" ht="14.1" customHeight="1" x14ac:dyDescent="0.15">
      <c r="A724" s="221"/>
      <c r="B724" s="221"/>
      <c r="C724" s="221"/>
      <c r="D724" s="210" t="s">
        <v>69</v>
      </c>
      <c r="E724" s="212">
        <v>26</v>
      </c>
      <c r="F724" s="212">
        <v>24895</v>
      </c>
      <c r="G724" s="212">
        <v>647270</v>
      </c>
      <c r="H724" s="212">
        <v>702</v>
      </c>
      <c r="I724" s="212">
        <v>18252</v>
      </c>
      <c r="J724" s="212">
        <v>629018</v>
      </c>
    </row>
    <row r="725" spans="1:10" ht="14.1" customHeight="1" x14ac:dyDescent="0.15">
      <c r="A725" s="221"/>
      <c r="B725" s="221"/>
      <c r="C725" s="221"/>
      <c r="D725" s="210" t="s">
        <v>139</v>
      </c>
      <c r="E725" s="212">
        <v>671</v>
      </c>
      <c r="F725" s="212">
        <v>4799</v>
      </c>
      <c r="G725" s="212">
        <v>3220129</v>
      </c>
      <c r="H725" s="212">
        <v>702</v>
      </c>
      <c r="I725" s="212">
        <v>471042</v>
      </c>
      <c r="J725" s="212">
        <v>2749087</v>
      </c>
    </row>
    <row r="726" spans="1:10" ht="14.1" customHeight="1" x14ac:dyDescent="0.15">
      <c r="A726" s="221"/>
      <c r="B726" s="221"/>
      <c r="C726" s="221"/>
      <c r="D726" s="210" t="s">
        <v>140</v>
      </c>
      <c r="E726" s="212">
        <v>449</v>
      </c>
      <c r="F726" s="212">
        <v>5805</v>
      </c>
      <c r="G726" s="212">
        <v>2606445</v>
      </c>
      <c r="H726" s="212">
        <v>702</v>
      </c>
      <c r="I726" s="212">
        <v>315198</v>
      </c>
      <c r="J726" s="212">
        <v>2291247</v>
      </c>
    </row>
    <row r="727" spans="1:10" ht="14.1" customHeight="1" x14ac:dyDescent="0.15">
      <c r="A727" s="221"/>
      <c r="B727" s="220" t="s">
        <v>168</v>
      </c>
      <c r="C727" s="223" t="s">
        <v>67</v>
      </c>
      <c r="D727" s="210" t="s">
        <v>144</v>
      </c>
      <c r="E727" s="212">
        <v>4</v>
      </c>
      <c r="F727" s="212">
        <v>44986</v>
      </c>
      <c r="G727" s="212">
        <v>179944</v>
      </c>
      <c r="H727" s="212">
        <v>925</v>
      </c>
      <c r="I727" s="212">
        <v>3700</v>
      </c>
      <c r="J727" s="212">
        <v>176244</v>
      </c>
    </row>
    <row r="728" spans="1:10" ht="14.1" customHeight="1" x14ac:dyDescent="0.15">
      <c r="A728" s="221"/>
      <c r="B728" s="221"/>
      <c r="C728" s="221"/>
      <c r="D728" s="210" t="s">
        <v>145</v>
      </c>
      <c r="E728" s="212">
        <v>19</v>
      </c>
      <c r="F728" s="212">
        <v>26911</v>
      </c>
      <c r="G728" s="212">
        <v>511309</v>
      </c>
      <c r="H728" s="212">
        <v>925</v>
      </c>
      <c r="I728" s="212">
        <v>17575</v>
      </c>
      <c r="J728" s="212">
        <v>493734</v>
      </c>
    </row>
    <row r="729" spans="1:10" ht="14.1" customHeight="1" x14ac:dyDescent="0.15">
      <c r="A729" s="221"/>
      <c r="B729" s="221"/>
      <c r="C729" s="221"/>
      <c r="D729" s="210" t="s">
        <v>85</v>
      </c>
      <c r="E729" s="212">
        <v>1</v>
      </c>
      <c r="F729" s="212">
        <v>26911</v>
      </c>
      <c r="G729" s="212">
        <v>26911</v>
      </c>
      <c r="H729" s="212">
        <v>925</v>
      </c>
      <c r="I729" s="212">
        <v>925</v>
      </c>
      <c r="J729" s="212">
        <v>25986</v>
      </c>
    </row>
    <row r="730" spans="1:10" ht="14.1" customHeight="1" x14ac:dyDescent="0.15">
      <c r="A730" s="221"/>
      <c r="B730" s="221"/>
      <c r="C730" s="221"/>
      <c r="D730" s="210" t="s">
        <v>141</v>
      </c>
      <c r="E730" s="212">
        <v>59</v>
      </c>
      <c r="F730" s="212">
        <v>13127</v>
      </c>
      <c r="G730" s="212">
        <v>774493</v>
      </c>
      <c r="H730" s="212">
        <v>925</v>
      </c>
      <c r="I730" s="212">
        <v>54575</v>
      </c>
      <c r="J730" s="212">
        <v>719918</v>
      </c>
    </row>
    <row r="731" spans="1:10" ht="14.1" customHeight="1" x14ac:dyDescent="0.15">
      <c r="A731" s="221"/>
      <c r="B731" s="221"/>
      <c r="C731" s="221"/>
      <c r="D731" s="210" t="s">
        <v>78</v>
      </c>
      <c r="E731" s="212">
        <v>8</v>
      </c>
      <c r="F731" s="212">
        <v>13127</v>
      </c>
      <c r="G731" s="212">
        <v>105016</v>
      </c>
      <c r="H731" s="212">
        <v>925</v>
      </c>
      <c r="I731" s="212">
        <v>7400</v>
      </c>
      <c r="J731" s="212">
        <v>97616</v>
      </c>
    </row>
    <row r="732" spans="1:10" ht="14.1" customHeight="1" x14ac:dyDescent="0.15">
      <c r="A732" s="221"/>
      <c r="B732" s="221"/>
      <c r="C732" s="221"/>
      <c r="D732" s="210" t="s">
        <v>146</v>
      </c>
      <c r="E732" s="212">
        <v>24</v>
      </c>
      <c r="F732" s="212">
        <v>10040</v>
      </c>
      <c r="G732" s="212">
        <v>240960</v>
      </c>
      <c r="H732" s="212">
        <v>925</v>
      </c>
      <c r="I732" s="212">
        <v>22200</v>
      </c>
      <c r="J732" s="212">
        <v>218760</v>
      </c>
    </row>
    <row r="733" spans="1:10" ht="14.1" customHeight="1" x14ac:dyDescent="0.15">
      <c r="A733" s="221"/>
      <c r="B733" s="221"/>
      <c r="C733" s="221"/>
      <c r="D733" s="210" t="s">
        <v>83</v>
      </c>
      <c r="E733" s="212">
        <v>1</v>
      </c>
      <c r="F733" s="212">
        <v>10040</v>
      </c>
      <c r="G733" s="212">
        <v>10040</v>
      </c>
      <c r="H733" s="212">
        <v>925</v>
      </c>
      <c r="I733" s="212">
        <v>925</v>
      </c>
      <c r="J733" s="212">
        <v>9115</v>
      </c>
    </row>
    <row r="734" spans="1:10" ht="14.1" customHeight="1" x14ac:dyDescent="0.15">
      <c r="A734" s="221"/>
      <c r="B734" s="221"/>
      <c r="C734" s="221"/>
      <c r="D734" s="210" t="s">
        <v>136</v>
      </c>
      <c r="E734" s="212">
        <v>97</v>
      </c>
      <c r="F734" s="212">
        <v>6828</v>
      </c>
      <c r="G734" s="212">
        <v>662316</v>
      </c>
      <c r="H734" s="212">
        <v>925</v>
      </c>
      <c r="I734" s="212">
        <v>89725</v>
      </c>
      <c r="J734" s="212">
        <v>572591</v>
      </c>
    </row>
    <row r="735" spans="1:10" ht="14.1" customHeight="1" x14ac:dyDescent="0.15">
      <c r="A735" s="221"/>
      <c r="B735" s="221"/>
      <c r="C735" s="221"/>
      <c r="D735" s="210" t="s">
        <v>77</v>
      </c>
      <c r="E735" s="212">
        <v>429</v>
      </c>
      <c r="F735" s="212">
        <v>6828</v>
      </c>
      <c r="G735" s="212">
        <v>2929212</v>
      </c>
      <c r="H735" s="212">
        <v>925</v>
      </c>
      <c r="I735" s="212">
        <v>396825</v>
      </c>
      <c r="J735" s="212">
        <v>2532387</v>
      </c>
    </row>
    <row r="736" spans="1:10" ht="14.1" customHeight="1" x14ac:dyDescent="0.15">
      <c r="A736" s="221"/>
      <c r="B736" s="221"/>
      <c r="C736" s="221"/>
      <c r="D736" s="210" t="s">
        <v>86</v>
      </c>
      <c r="E736" s="212">
        <v>2</v>
      </c>
      <c r="F736" s="212">
        <v>4251</v>
      </c>
      <c r="G736" s="212">
        <v>8502</v>
      </c>
      <c r="H736" s="212">
        <v>925</v>
      </c>
      <c r="I736" s="212">
        <v>1850</v>
      </c>
      <c r="J736" s="212">
        <v>6652</v>
      </c>
    </row>
    <row r="737" spans="1:10" ht="14.1" customHeight="1" x14ac:dyDescent="0.15">
      <c r="A737" s="221"/>
      <c r="B737" s="221"/>
      <c r="C737" s="221"/>
      <c r="D737" s="210" t="s">
        <v>148</v>
      </c>
      <c r="E737" s="212">
        <v>1</v>
      </c>
      <c r="F737" s="212">
        <v>1205</v>
      </c>
      <c r="G737" s="212">
        <v>1205</v>
      </c>
      <c r="H737" s="212">
        <v>925</v>
      </c>
      <c r="I737" s="212">
        <v>925</v>
      </c>
      <c r="J737" s="212">
        <v>280</v>
      </c>
    </row>
    <row r="738" spans="1:10" ht="29.1" customHeight="1" x14ac:dyDescent="0.15">
      <c r="A738" s="221"/>
      <c r="B738" s="221"/>
      <c r="C738" s="222" t="s">
        <v>159</v>
      </c>
      <c r="D738" s="210" t="s">
        <v>101</v>
      </c>
      <c r="E738" s="212">
        <v>2</v>
      </c>
      <c r="F738" s="212">
        <v>46407</v>
      </c>
      <c r="G738" s="212">
        <v>92814</v>
      </c>
      <c r="H738" s="212">
        <v>2346</v>
      </c>
      <c r="I738" s="212">
        <v>4692</v>
      </c>
      <c r="J738" s="212">
        <v>88122</v>
      </c>
    </row>
    <row r="739" spans="1:10" ht="14.1" customHeight="1" x14ac:dyDescent="0.15">
      <c r="A739" s="221"/>
      <c r="B739" s="221"/>
      <c r="C739" s="221"/>
      <c r="D739" s="210" t="s">
        <v>79</v>
      </c>
      <c r="E739" s="212">
        <v>2</v>
      </c>
      <c r="F739" s="212">
        <v>28332</v>
      </c>
      <c r="G739" s="212">
        <v>56664</v>
      </c>
      <c r="H739" s="212">
        <v>2346</v>
      </c>
      <c r="I739" s="212">
        <v>4692</v>
      </c>
      <c r="J739" s="212">
        <v>51972</v>
      </c>
    </row>
    <row r="740" spans="1:10" ht="14.1" customHeight="1" x14ac:dyDescent="0.15">
      <c r="A740" s="221"/>
      <c r="B740" s="221"/>
      <c r="C740" s="221"/>
      <c r="D740" s="210" t="s">
        <v>73</v>
      </c>
      <c r="E740" s="212">
        <v>6</v>
      </c>
      <c r="F740" s="212">
        <v>14548</v>
      </c>
      <c r="G740" s="212">
        <v>87288</v>
      </c>
      <c r="H740" s="212">
        <v>2346</v>
      </c>
      <c r="I740" s="212">
        <v>14076</v>
      </c>
      <c r="J740" s="212">
        <v>73212</v>
      </c>
    </row>
    <row r="741" spans="1:10" ht="14.1" customHeight="1" x14ac:dyDescent="0.15">
      <c r="A741" s="221"/>
      <c r="B741" s="221"/>
      <c r="C741" s="221"/>
      <c r="D741" s="210" t="s">
        <v>74</v>
      </c>
      <c r="E741" s="212">
        <v>10</v>
      </c>
      <c r="F741" s="212">
        <v>11461</v>
      </c>
      <c r="G741" s="212">
        <v>114610</v>
      </c>
      <c r="H741" s="212">
        <v>2346</v>
      </c>
      <c r="I741" s="212">
        <v>23460</v>
      </c>
      <c r="J741" s="212">
        <v>91150</v>
      </c>
    </row>
    <row r="742" spans="1:10" ht="14.1" customHeight="1" x14ac:dyDescent="0.15">
      <c r="A742" s="221"/>
      <c r="B742" s="221"/>
      <c r="C742" s="221"/>
      <c r="D742" s="210" t="s">
        <v>71</v>
      </c>
      <c r="E742" s="212">
        <v>46</v>
      </c>
      <c r="F742" s="212">
        <v>8249</v>
      </c>
      <c r="G742" s="212">
        <v>379454</v>
      </c>
      <c r="H742" s="212">
        <v>2346</v>
      </c>
      <c r="I742" s="212">
        <v>107916</v>
      </c>
      <c r="J742" s="212">
        <v>271538</v>
      </c>
    </row>
    <row r="743" spans="1:10" ht="29.1" customHeight="1" x14ac:dyDescent="0.15">
      <c r="A743" s="221"/>
      <c r="B743" s="221"/>
      <c r="C743" s="222" t="s">
        <v>161</v>
      </c>
      <c r="D743" s="210" t="s">
        <v>88</v>
      </c>
      <c r="E743" s="212">
        <v>1</v>
      </c>
      <c r="F743" s="212">
        <v>61914</v>
      </c>
      <c r="G743" s="212">
        <v>61914</v>
      </c>
      <c r="H743" s="212">
        <v>1627</v>
      </c>
      <c r="I743" s="212">
        <v>1627</v>
      </c>
      <c r="J743" s="212">
        <v>60287</v>
      </c>
    </row>
    <row r="744" spans="1:10" ht="14.1" customHeight="1" x14ac:dyDescent="0.15">
      <c r="A744" s="221"/>
      <c r="B744" s="221"/>
      <c r="C744" s="221"/>
      <c r="D744" s="210" t="s">
        <v>101</v>
      </c>
      <c r="E744" s="212">
        <v>337</v>
      </c>
      <c r="F744" s="212">
        <v>45688</v>
      </c>
      <c r="G744" s="212">
        <v>15396856</v>
      </c>
      <c r="H744" s="212">
        <v>1627</v>
      </c>
      <c r="I744" s="212">
        <v>548299</v>
      </c>
      <c r="J744" s="212">
        <v>14848557</v>
      </c>
    </row>
    <row r="745" spans="1:10" ht="14.1" customHeight="1" x14ac:dyDescent="0.15">
      <c r="A745" s="221"/>
      <c r="B745" s="221"/>
      <c r="C745" s="221"/>
      <c r="D745" s="210" t="s">
        <v>79</v>
      </c>
      <c r="E745" s="212">
        <v>1552</v>
      </c>
      <c r="F745" s="212">
        <v>27613</v>
      </c>
      <c r="G745" s="212">
        <v>42855376</v>
      </c>
      <c r="H745" s="212">
        <v>1627</v>
      </c>
      <c r="I745" s="212">
        <v>2525104</v>
      </c>
      <c r="J745" s="212">
        <v>40330272</v>
      </c>
    </row>
    <row r="746" spans="1:10" ht="14.1" customHeight="1" x14ac:dyDescent="0.15">
      <c r="A746" s="221"/>
      <c r="B746" s="221"/>
      <c r="C746" s="221"/>
      <c r="D746" s="210" t="s">
        <v>73</v>
      </c>
      <c r="E746" s="212">
        <v>2929</v>
      </c>
      <c r="F746" s="212">
        <v>13829</v>
      </c>
      <c r="G746" s="212">
        <v>40505141</v>
      </c>
      <c r="H746" s="212">
        <v>1627</v>
      </c>
      <c r="I746" s="212">
        <v>4765483</v>
      </c>
      <c r="J746" s="212">
        <v>35739658</v>
      </c>
    </row>
    <row r="747" spans="1:10" ht="14.1" customHeight="1" x14ac:dyDescent="0.15">
      <c r="A747" s="221"/>
      <c r="B747" s="221"/>
      <c r="C747" s="221"/>
      <c r="D747" s="210" t="s">
        <v>74</v>
      </c>
      <c r="E747" s="212">
        <v>4028</v>
      </c>
      <c r="F747" s="212">
        <v>10742</v>
      </c>
      <c r="G747" s="212">
        <v>43268776</v>
      </c>
      <c r="H747" s="212">
        <v>1627</v>
      </c>
      <c r="I747" s="212">
        <v>6553556</v>
      </c>
      <c r="J747" s="212">
        <v>36715220</v>
      </c>
    </row>
    <row r="748" spans="1:10" ht="14.1" customHeight="1" x14ac:dyDescent="0.15">
      <c r="A748" s="221"/>
      <c r="B748" s="221"/>
      <c r="C748" s="221"/>
      <c r="D748" s="210" t="s">
        <v>71</v>
      </c>
      <c r="E748" s="212">
        <v>4932</v>
      </c>
      <c r="F748" s="212">
        <v>7530</v>
      </c>
      <c r="G748" s="212">
        <v>37137960</v>
      </c>
      <c r="H748" s="212">
        <v>1627</v>
      </c>
      <c r="I748" s="212">
        <v>8024364</v>
      </c>
      <c r="J748" s="212">
        <v>29113596</v>
      </c>
    </row>
    <row r="749" spans="1:10" ht="14.1" customHeight="1" x14ac:dyDescent="0.15">
      <c r="A749" s="221"/>
      <c r="B749" s="221"/>
      <c r="C749" s="221"/>
      <c r="D749" s="210" t="s">
        <v>72</v>
      </c>
      <c r="E749" s="212">
        <v>35</v>
      </c>
      <c r="F749" s="212">
        <v>4953</v>
      </c>
      <c r="G749" s="212">
        <v>173355</v>
      </c>
      <c r="H749" s="212">
        <v>1627</v>
      </c>
      <c r="I749" s="212">
        <v>56945</v>
      </c>
      <c r="J749" s="212">
        <v>116410</v>
      </c>
    </row>
    <row r="750" spans="1:10" ht="14.1" customHeight="1" x14ac:dyDescent="0.15">
      <c r="A750" s="221"/>
      <c r="B750" s="221"/>
      <c r="C750" s="221"/>
      <c r="D750" s="210" t="s">
        <v>75</v>
      </c>
      <c r="E750" s="212">
        <v>442</v>
      </c>
      <c r="F750" s="212">
        <v>1907</v>
      </c>
      <c r="G750" s="212">
        <v>842894</v>
      </c>
      <c r="H750" s="212">
        <v>1627</v>
      </c>
      <c r="I750" s="212">
        <v>719134</v>
      </c>
      <c r="J750" s="212">
        <v>123760</v>
      </c>
    </row>
    <row r="751" spans="1:10" ht="29.1" customHeight="1" x14ac:dyDescent="0.15">
      <c r="A751" s="222" t="s">
        <v>117</v>
      </c>
      <c r="B751" s="221" t="s">
        <v>53</v>
      </c>
      <c r="C751" s="221"/>
      <c r="D751" s="221"/>
      <c r="E751" s="212">
        <v>13</v>
      </c>
      <c r="F751" s="212">
        <v>10317</v>
      </c>
      <c r="G751" s="212">
        <v>63106</v>
      </c>
      <c r="H751" s="212"/>
      <c r="I751" s="212">
        <v>9845</v>
      </c>
      <c r="J751" s="212">
        <v>53261</v>
      </c>
    </row>
    <row r="752" spans="1:10" ht="14.1" customHeight="1" x14ac:dyDescent="0.15">
      <c r="A752" s="221"/>
      <c r="B752" s="210" t="s">
        <v>63</v>
      </c>
      <c r="C752" s="210" t="s">
        <v>64</v>
      </c>
      <c r="D752" s="210" t="s">
        <v>65</v>
      </c>
      <c r="E752" s="218">
        <v>1</v>
      </c>
      <c r="F752" s="218">
        <v>5518</v>
      </c>
      <c r="G752" s="218">
        <v>5518</v>
      </c>
      <c r="H752" s="218">
        <v>1421</v>
      </c>
      <c r="I752" s="218">
        <v>1421</v>
      </c>
      <c r="J752" s="218">
        <v>4097</v>
      </c>
    </row>
    <row r="753" spans="1:10" ht="29.1" customHeight="1" x14ac:dyDescent="0.15">
      <c r="A753" s="221"/>
      <c r="B753" s="222" t="s">
        <v>167</v>
      </c>
      <c r="C753" s="209" t="s">
        <v>159</v>
      </c>
      <c r="D753" s="210" t="s">
        <v>139</v>
      </c>
      <c r="E753" s="219"/>
      <c r="F753" s="219"/>
      <c r="G753" s="219"/>
      <c r="H753" s="219"/>
      <c r="I753" s="219"/>
      <c r="J753" s="219"/>
    </row>
    <row r="754" spans="1:10" ht="29.1" customHeight="1" x14ac:dyDescent="0.15">
      <c r="A754" s="221"/>
      <c r="B754" s="221"/>
      <c r="C754" s="209" t="s">
        <v>161</v>
      </c>
      <c r="D754" s="210" t="s">
        <v>139</v>
      </c>
      <c r="E754" s="212">
        <v>12</v>
      </c>
      <c r="F754" s="212">
        <v>4799</v>
      </c>
      <c r="G754" s="212">
        <v>57588</v>
      </c>
      <c r="H754" s="212">
        <v>702</v>
      </c>
      <c r="I754" s="212">
        <v>8424</v>
      </c>
      <c r="J754" s="212">
        <v>49164</v>
      </c>
    </row>
    <row r="755" spans="1:10" ht="29.1" customHeight="1" x14ac:dyDescent="0.15">
      <c r="A755" s="222" t="s">
        <v>157</v>
      </c>
      <c r="B755" s="221" t="s">
        <v>53</v>
      </c>
      <c r="C755" s="221"/>
      <c r="D755" s="221"/>
      <c r="E755" s="212">
        <v>65446</v>
      </c>
      <c r="F755" s="212">
        <v>1514150</v>
      </c>
      <c r="G755" s="212">
        <v>797275725</v>
      </c>
      <c r="H755" s="212"/>
      <c r="I755" s="212">
        <v>89525903</v>
      </c>
      <c r="J755" s="212">
        <v>707749822</v>
      </c>
    </row>
    <row r="756" spans="1:10" ht="14.1" customHeight="1" x14ac:dyDescent="0.15">
      <c r="A756" s="221"/>
      <c r="B756" s="210" t="s">
        <v>63</v>
      </c>
      <c r="C756" s="210" t="s">
        <v>64</v>
      </c>
      <c r="D756" s="210" t="s">
        <v>65</v>
      </c>
      <c r="E756" s="218">
        <v>43</v>
      </c>
      <c r="F756" s="218">
        <v>10139</v>
      </c>
      <c r="G756" s="218">
        <v>435977</v>
      </c>
      <c r="H756" s="218">
        <v>0</v>
      </c>
      <c r="I756" s="218">
        <v>0</v>
      </c>
      <c r="J756" s="218">
        <v>435977</v>
      </c>
    </row>
    <row r="757" spans="1:10" ht="14.1" customHeight="1" x14ac:dyDescent="0.15">
      <c r="A757" s="221"/>
      <c r="B757" s="220" t="s">
        <v>66</v>
      </c>
      <c r="C757" s="223" t="s">
        <v>67</v>
      </c>
      <c r="D757" s="210" t="s">
        <v>134</v>
      </c>
      <c r="E757" s="219"/>
      <c r="F757" s="219"/>
      <c r="G757" s="219"/>
      <c r="H757" s="219"/>
      <c r="I757" s="219"/>
      <c r="J757" s="219"/>
    </row>
    <row r="758" spans="1:10" ht="14.1" customHeight="1" x14ac:dyDescent="0.15">
      <c r="A758" s="221"/>
      <c r="B758" s="221"/>
      <c r="C758" s="221"/>
      <c r="D758" s="210" t="s">
        <v>132</v>
      </c>
      <c r="E758" s="212">
        <v>34</v>
      </c>
      <c r="F758" s="212">
        <v>10139</v>
      </c>
      <c r="G758" s="212">
        <v>344726</v>
      </c>
      <c r="H758" s="212">
        <v>0</v>
      </c>
      <c r="I758" s="212">
        <v>0</v>
      </c>
      <c r="J758" s="212">
        <v>344726</v>
      </c>
    </row>
    <row r="759" spans="1:10" ht="29.1" customHeight="1" x14ac:dyDescent="0.15">
      <c r="A759" s="221"/>
      <c r="B759" s="221"/>
      <c r="C759" s="209" t="s">
        <v>159</v>
      </c>
      <c r="D759" s="210" t="s">
        <v>133</v>
      </c>
      <c r="E759" s="212">
        <v>12</v>
      </c>
      <c r="F759" s="212">
        <v>11560</v>
      </c>
      <c r="G759" s="212">
        <v>138720</v>
      </c>
      <c r="H759" s="212">
        <v>2346</v>
      </c>
      <c r="I759" s="212">
        <v>28152</v>
      </c>
      <c r="J759" s="212">
        <v>110568</v>
      </c>
    </row>
    <row r="760" spans="1:10" ht="29.1" customHeight="1" x14ac:dyDescent="0.15">
      <c r="A760" s="221"/>
      <c r="B760" s="221"/>
      <c r="C760" s="209" t="s">
        <v>160</v>
      </c>
      <c r="D760" s="210" t="s">
        <v>133</v>
      </c>
      <c r="E760" s="212">
        <v>37</v>
      </c>
      <c r="F760" s="212">
        <v>11344</v>
      </c>
      <c r="G760" s="212">
        <v>419737</v>
      </c>
      <c r="H760" s="212">
        <v>2292</v>
      </c>
      <c r="I760" s="212">
        <v>84804</v>
      </c>
      <c r="J760" s="212">
        <v>334933</v>
      </c>
    </row>
    <row r="761" spans="1:10" ht="29.1" customHeight="1" x14ac:dyDescent="0.15">
      <c r="A761" s="221"/>
      <c r="B761" s="221"/>
      <c r="C761" s="209" t="s">
        <v>161</v>
      </c>
      <c r="D761" s="210" t="s">
        <v>133</v>
      </c>
      <c r="E761" s="212">
        <v>5192</v>
      </c>
      <c r="F761" s="212">
        <v>10841</v>
      </c>
      <c r="G761" s="212">
        <v>56286472</v>
      </c>
      <c r="H761" s="212">
        <v>1627</v>
      </c>
      <c r="I761" s="212">
        <v>8447384</v>
      </c>
      <c r="J761" s="212">
        <v>47839088</v>
      </c>
    </row>
    <row r="762" spans="1:10" ht="14.1" customHeight="1" x14ac:dyDescent="0.15">
      <c r="A762" s="221"/>
      <c r="B762" s="220" t="s">
        <v>162</v>
      </c>
      <c r="C762" s="223" t="s">
        <v>108</v>
      </c>
      <c r="D762" s="210" t="s">
        <v>163</v>
      </c>
      <c r="E762" s="212">
        <v>1456</v>
      </c>
      <c r="F762" s="212">
        <v>23712</v>
      </c>
      <c r="G762" s="212">
        <v>34524672</v>
      </c>
      <c r="H762" s="212">
        <v>3932</v>
      </c>
      <c r="I762" s="212">
        <v>5724992</v>
      </c>
      <c r="J762" s="212">
        <v>28799680</v>
      </c>
    </row>
    <row r="763" spans="1:10" ht="14.1" customHeight="1" x14ac:dyDescent="0.15">
      <c r="A763" s="221"/>
      <c r="B763" s="221"/>
      <c r="C763" s="221"/>
      <c r="D763" s="210" t="s">
        <v>165</v>
      </c>
      <c r="E763" s="212">
        <v>2306</v>
      </c>
      <c r="F763" s="212">
        <v>20422</v>
      </c>
      <c r="G763" s="212">
        <v>47093132</v>
      </c>
      <c r="H763" s="212">
        <v>3932</v>
      </c>
      <c r="I763" s="212">
        <v>9067192</v>
      </c>
      <c r="J763" s="212">
        <v>38025940</v>
      </c>
    </row>
    <row r="764" spans="1:10" ht="29.1" customHeight="1" x14ac:dyDescent="0.15">
      <c r="A764" s="221"/>
      <c r="B764" s="222" t="s">
        <v>167</v>
      </c>
      <c r="C764" s="223" t="s">
        <v>67</v>
      </c>
      <c r="D764" s="210" t="s">
        <v>104</v>
      </c>
      <c r="E764" s="212">
        <v>6</v>
      </c>
      <c r="F764" s="212">
        <v>61212</v>
      </c>
      <c r="G764" s="212">
        <v>367272</v>
      </c>
      <c r="H764" s="212">
        <v>0</v>
      </c>
      <c r="I764" s="212">
        <v>0</v>
      </c>
      <c r="J764" s="212">
        <v>367272</v>
      </c>
    </row>
    <row r="765" spans="1:10" ht="14.1" customHeight="1" x14ac:dyDescent="0.15">
      <c r="A765" s="221"/>
      <c r="B765" s="221"/>
      <c r="C765" s="221"/>
      <c r="D765" s="210" t="s">
        <v>154</v>
      </c>
      <c r="E765" s="212">
        <v>1</v>
      </c>
      <c r="F765" s="212">
        <v>44986</v>
      </c>
      <c r="G765" s="212">
        <v>44986</v>
      </c>
      <c r="H765" s="212">
        <v>0</v>
      </c>
      <c r="I765" s="212">
        <v>0</v>
      </c>
      <c r="J765" s="212">
        <v>44986</v>
      </c>
    </row>
    <row r="766" spans="1:10" ht="14.1" customHeight="1" x14ac:dyDescent="0.15">
      <c r="A766" s="221"/>
      <c r="B766" s="221"/>
      <c r="C766" s="221"/>
      <c r="D766" s="210" t="s">
        <v>145</v>
      </c>
      <c r="E766" s="212">
        <v>13</v>
      </c>
      <c r="F766" s="212">
        <v>26911</v>
      </c>
      <c r="G766" s="212">
        <v>349843</v>
      </c>
      <c r="H766" s="212">
        <v>0</v>
      </c>
      <c r="I766" s="212">
        <v>0</v>
      </c>
      <c r="J766" s="212">
        <v>349843</v>
      </c>
    </row>
    <row r="767" spans="1:10" ht="14.1" customHeight="1" x14ac:dyDescent="0.15">
      <c r="A767" s="221"/>
      <c r="B767" s="221"/>
      <c r="C767" s="221"/>
      <c r="D767" s="210" t="s">
        <v>85</v>
      </c>
      <c r="E767" s="212">
        <v>74</v>
      </c>
      <c r="F767" s="212">
        <v>26911</v>
      </c>
      <c r="G767" s="212">
        <v>1991414</v>
      </c>
      <c r="H767" s="212">
        <v>0</v>
      </c>
      <c r="I767" s="212">
        <v>0</v>
      </c>
      <c r="J767" s="212">
        <v>1991414</v>
      </c>
    </row>
    <row r="768" spans="1:10" ht="14.1" customHeight="1" x14ac:dyDescent="0.15">
      <c r="A768" s="221"/>
      <c r="B768" s="221"/>
      <c r="C768" s="221"/>
      <c r="D768" s="210" t="s">
        <v>141</v>
      </c>
      <c r="E768" s="212">
        <v>28</v>
      </c>
      <c r="F768" s="212">
        <v>13127</v>
      </c>
      <c r="G768" s="212">
        <v>367556</v>
      </c>
      <c r="H768" s="212">
        <v>0</v>
      </c>
      <c r="I768" s="212">
        <v>0</v>
      </c>
      <c r="J768" s="212">
        <v>367556</v>
      </c>
    </row>
    <row r="769" spans="1:10" ht="14.1" customHeight="1" x14ac:dyDescent="0.15">
      <c r="A769" s="221"/>
      <c r="B769" s="221"/>
      <c r="C769" s="221"/>
      <c r="D769" s="210" t="s">
        <v>78</v>
      </c>
      <c r="E769" s="212">
        <v>315</v>
      </c>
      <c r="F769" s="212">
        <v>13127</v>
      </c>
      <c r="G769" s="212">
        <v>4135005</v>
      </c>
      <c r="H769" s="212">
        <v>0</v>
      </c>
      <c r="I769" s="212">
        <v>0</v>
      </c>
      <c r="J769" s="212">
        <v>4135005</v>
      </c>
    </row>
    <row r="770" spans="1:10" ht="14.1" customHeight="1" x14ac:dyDescent="0.15">
      <c r="A770" s="221"/>
      <c r="B770" s="221"/>
      <c r="C770" s="221"/>
      <c r="D770" s="210" t="s">
        <v>146</v>
      </c>
      <c r="E770" s="212">
        <v>16</v>
      </c>
      <c r="F770" s="212">
        <v>10040</v>
      </c>
      <c r="G770" s="212">
        <v>160640</v>
      </c>
      <c r="H770" s="212">
        <v>0</v>
      </c>
      <c r="I770" s="212">
        <v>0</v>
      </c>
      <c r="J770" s="212">
        <v>160640</v>
      </c>
    </row>
    <row r="771" spans="1:10" ht="14.1" customHeight="1" x14ac:dyDescent="0.15">
      <c r="A771" s="221"/>
      <c r="B771" s="221"/>
      <c r="C771" s="221"/>
      <c r="D771" s="210" t="s">
        <v>83</v>
      </c>
      <c r="E771" s="212">
        <v>56</v>
      </c>
      <c r="F771" s="212">
        <v>10040</v>
      </c>
      <c r="G771" s="212">
        <v>562240</v>
      </c>
      <c r="H771" s="212">
        <v>0</v>
      </c>
      <c r="I771" s="212">
        <v>0</v>
      </c>
      <c r="J771" s="212">
        <v>562240</v>
      </c>
    </row>
    <row r="772" spans="1:10" ht="14.1" customHeight="1" x14ac:dyDescent="0.15">
      <c r="A772" s="221"/>
      <c r="B772" s="221"/>
      <c r="C772" s="221"/>
      <c r="D772" s="210" t="s">
        <v>136</v>
      </c>
      <c r="E772" s="212">
        <v>26</v>
      </c>
      <c r="F772" s="212">
        <v>6828</v>
      </c>
      <c r="G772" s="212">
        <v>177528</v>
      </c>
      <c r="H772" s="212">
        <v>0</v>
      </c>
      <c r="I772" s="212">
        <v>0</v>
      </c>
      <c r="J772" s="212">
        <v>177528</v>
      </c>
    </row>
    <row r="773" spans="1:10" ht="14.1" customHeight="1" x14ac:dyDescent="0.15">
      <c r="A773" s="221"/>
      <c r="B773" s="221"/>
      <c r="C773" s="221"/>
      <c r="D773" s="210" t="s">
        <v>77</v>
      </c>
      <c r="E773" s="212">
        <v>26</v>
      </c>
      <c r="F773" s="212">
        <v>6828</v>
      </c>
      <c r="G773" s="212">
        <v>177528</v>
      </c>
      <c r="H773" s="212">
        <v>0</v>
      </c>
      <c r="I773" s="212">
        <v>0</v>
      </c>
      <c r="J773" s="212">
        <v>177528</v>
      </c>
    </row>
    <row r="774" spans="1:10" ht="14.1" customHeight="1" x14ac:dyDescent="0.15">
      <c r="A774" s="221"/>
      <c r="B774" s="221"/>
      <c r="C774" s="221"/>
      <c r="D774" s="210" t="s">
        <v>149</v>
      </c>
      <c r="E774" s="212">
        <v>1</v>
      </c>
      <c r="F774" s="212">
        <v>4251</v>
      </c>
      <c r="G774" s="212">
        <v>4251</v>
      </c>
      <c r="H774" s="212">
        <v>0</v>
      </c>
      <c r="I774" s="212">
        <v>0</v>
      </c>
      <c r="J774" s="212">
        <v>4251</v>
      </c>
    </row>
    <row r="775" spans="1:10" ht="14.1" customHeight="1" x14ac:dyDescent="0.15">
      <c r="A775" s="221"/>
      <c r="B775" s="221"/>
      <c r="C775" s="221"/>
      <c r="D775" s="210" t="s">
        <v>86</v>
      </c>
      <c r="E775" s="212">
        <v>8</v>
      </c>
      <c r="F775" s="212">
        <v>4251</v>
      </c>
      <c r="G775" s="212">
        <v>34008</v>
      </c>
      <c r="H775" s="212">
        <v>0</v>
      </c>
      <c r="I775" s="212">
        <v>0</v>
      </c>
      <c r="J775" s="212">
        <v>34008</v>
      </c>
    </row>
    <row r="776" spans="1:10" ht="14.1" customHeight="1" x14ac:dyDescent="0.15">
      <c r="A776" s="221"/>
      <c r="B776" s="221"/>
      <c r="C776" s="221"/>
      <c r="D776" s="210" t="s">
        <v>147</v>
      </c>
      <c r="E776" s="212">
        <v>2</v>
      </c>
      <c r="F776" s="212">
        <v>2410</v>
      </c>
      <c r="G776" s="212">
        <v>4820</v>
      </c>
      <c r="H776" s="212">
        <v>0</v>
      </c>
      <c r="I776" s="212">
        <v>0</v>
      </c>
      <c r="J776" s="212">
        <v>4820</v>
      </c>
    </row>
    <row r="777" spans="1:10" ht="14.1" customHeight="1" x14ac:dyDescent="0.15">
      <c r="A777" s="221"/>
      <c r="B777" s="221"/>
      <c r="C777" s="221"/>
      <c r="D777" s="210" t="s">
        <v>84</v>
      </c>
      <c r="E777" s="212">
        <v>3</v>
      </c>
      <c r="F777" s="212">
        <v>2410</v>
      </c>
      <c r="G777" s="212">
        <v>7230</v>
      </c>
      <c r="H777" s="212">
        <v>0</v>
      </c>
      <c r="I777" s="212">
        <v>0</v>
      </c>
      <c r="J777" s="212">
        <v>7230</v>
      </c>
    </row>
    <row r="778" spans="1:10" ht="14.1" customHeight="1" x14ac:dyDescent="0.15">
      <c r="A778" s="221"/>
      <c r="B778" s="221"/>
      <c r="C778" s="221"/>
      <c r="D778" s="210" t="s">
        <v>148</v>
      </c>
      <c r="E778" s="212">
        <v>4</v>
      </c>
      <c r="F778" s="212">
        <v>1205</v>
      </c>
      <c r="G778" s="212">
        <v>4820</v>
      </c>
      <c r="H778" s="212">
        <v>0</v>
      </c>
      <c r="I778" s="212">
        <v>0</v>
      </c>
      <c r="J778" s="212">
        <v>4820</v>
      </c>
    </row>
    <row r="779" spans="1:10" ht="14.1" customHeight="1" x14ac:dyDescent="0.15">
      <c r="A779" s="221"/>
      <c r="B779" s="221"/>
      <c r="C779" s="221"/>
      <c r="D779" s="210" t="s">
        <v>89</v>
      </c>
      <c r="E779" s="212">
        <v>5</v>
      </c>
      <c r="F779" s="212">
        <v>1205</v>
      </c>
      <c r="G779" s="212">
        <v>6025</v>
      </c>
      <c r="H779" s="212">
        <v>0</v>
      </c>
      <c r="I779" s="212">
        <v>0</v>
      </c>
      <c r="J779" s="212">
        <v>6025</v>
      </c>
    </row>
    <row r="780" spans="1:10" ht="14.1" customHeight="1" x14ac:dyDescent="0.15">
      <c r="A780" s="221"/>
      <c r="B780" s="221"/>
      <c r="C780" s="221"/>
      <c r="D780" s="210" t="s">
        <v>153</v>
      </c>
      <c r="E780" s="212">
        <v>3</v>
      </c>
      <c r="F780" s="212">
        <v>24193</v>
      </c>
      <c r="G780" s="212">
        <v>72579</v>
      </c>
      <c r="H780" s="212">
        <v>0</v>
      </c>
      <c r="I780" s="212">
        <v>0</v>
      </c>
      <c r="J780" s="212">
        <v>72579</v>
      </c>
    </row>
    <row r="781" spans="1:10" ht="14.1" customHeight="1" x14ac:dyDescent="0.15">
      <c r="A781" s="221"/>
      <c r="B781" s="221"/>
      <c r="C781" s="221"/>
      <c r="D781" s="210" t="s">
        <v>68</v>
      </c>
      <c r="E781" s="212">
        <v>2</v>
      </c>
      <c r="F781" s="212">
        <v>24193</v>
      </c>
      <c r="G781" s="212">
        <v>48386</v>
      </c>
      <c r="H781" s="212">
        <v>0</v>
      </c>
      <c r="I781" s="212">
        <v>0</v>
      </c>
      <c r="J781" s="212">
        <v>48386</v>
      </c>
    </row>
    <row r="782" spans="1:10" ht="14.1" customHeight="1" x14ac:dyDescent="0.15">
      <c r="A782" s="221"/>
      <c r="B782" s="221"/>
      <c r="C782" s="221"/>
      <c r="D782" s="210" t="s">
        <v>137</v>
      </c>
      <c r="E782" s="212">
        <v>26</v>
      </c>
      <c r="F782" s="212">
        <v>4097</v>
      </c>
      <c r="G782" s="212">
        <v>106522</v>
      </c>
      <c r="H782" s="212">
        <v>0</v>
      </c>
      <c r="I782" s="212">
        <v>0</v>
      </c>
      <c r="J782" s="212">
        <v>106522</v>
      </c>
    </row>
    <row r="783" spans="1:10" ht="14.1" customHeight="1" x14ac:dyDescent="0.15">
      <c r="A783" s="221"/>
      <c r="B783" s="221"/>
      <c r="C783" s="221"/>
      <c r="D783" s="210" t="s">
        <v>143</v>
      </c>
      <c r="E783" s="212">
        <v>13</v>
      </c>
      <c r="F783" s="212">
        <v>5103</v>
      </c>
      <c r="G783" s="212">
        <v>66339</v>
      </c>
      <c r="H783" s="212">
        <v>0</v>
      </c>
      <c r="I783" s="212">
        <v>0</v>
      </c>
      <c r="J783" s="212">
        <v>66339</v>
      </c>
    </row>
    <row r="784" spans="1:10" ht="14.1" customHeight="1" x14ac:dyDescent="0.15">
      <c r="A784" s="221"/>
      <c r="B784" s="221"/>
      <c r="C784" s="221"/>
      <c r="D784" s="210" t="s">
        <v>138</v>
      </c>
      <c r="E784" s="212">
        <v>247</v>
      </c>
      <c r="F784" s="212">
        <v>5103</v>
      </c>
      <c r="G784" s="212">
        <v>1260441</v>
      </c>
      <c r="H784" s="212">
        <v>0</v>
      </c>
      <c r="I784" s="212">
        <v>0</v>
      </c>
      <c r="J784" s="212">
        <v>1260441</v>
      </c>
    </row>
    <row r="785" spans="1:10" ht="29.1" customHeight="1" x14ac:dyDescent="0.15">
      <c r="A785" s="221"/>
      <c r="B785" s="221"/>
      <c r="C785" s="222" t="s">
        <v>159</v>
      </c>
      <c r="D785" s="210" t="s">
        <v>70</v>
      </c>
      <c r="E785" s="212">
        <v>27</v>
      </c>
      <c r="F785" s="212">
        <v>3986</v>
      </c>
      <c r="G785" s="212">
        <v>107622</v>
      </c>
      <c r="H785" s="212">
        <v>1421</v>
      </c>
      <c r="I785" s="212">
        <v>38367</v>
      </c>
      <c r="J785" s="212">
        <v>69255</v>
      </c>
    </row>
    <row r="786" spans="1:10" ht="14.1" customHeight="1" x14ac:dyDescent="0.15">
      <c r="A786" s="221"/>
      <c r="B786" s="221"/>
      <c r="C786" s="221"/>
      <c r="D786" s="210" t="s">
        <v>101</v>
      </c>
      <c r="E786" s="212">
        <v>2</v>
      </c>
      <c r="F786" s="212">
        <v>46407</v>
      </c>
      <c r="G786" s="212">
        <v>92814</v>
      </c>
      <c r="H786" s="212">
        <v>1421</v>
      </c>
      <c r="I786" s="212">
        <v>2842</v>
      </c>
      <c r="J786" s="212">
        <v>89972</v>
      </c>
    </row>
    <row r="787" spans="1:10" ht="14.1" customHeight="1" x14ac:dyDescent="0.15">
      <c r="A787" s="221"/>
      <c r="B787" s="221"/>
      <c r="C787" s="221"/>
      <c r="D787" s="210" t="s">
        <v>79</v>
      </c>
      <c r="E787" s="212">
        <v>36</v>
      </c>
      <c r="F787" s="212">
        <v>28332</v>
      </c>
      <c r="G787" s="212">
        <v>1019952</v>
      </c>
      <c r="H787" s="212">
        <v>1421</v>
      </c>
      <c r="I787" s="212">
        <v>51156</v>
      </c>
      <c r="J787" s="212">
        <v>968796</v>
      </c>
    </row>
    <row r="788" spans="1:10" ht="14.1" customHeight="1" x14ac:dyDescent="0.15">
      <c r="A788" s="221"/>
      <c r="B788" s="221"/>
      <c r="C788" s="221"/>
      <c r="D788" s="210" t="s">
        <v>73</v>
      </c>
      <c r="E788" s="212">
        <v>32</v>
      </c>
      <c r="F788" s="212">
        <v>14548</v>
      </c>
      <c r="G788" s="212">
        <v>465536</v>
      </c>
      <c r="H788" s="212">
        <v>1421</v>
      </c>
      <c r="I788" s="212">
        <v>45472</v>
      </c>
      <c r="J788" s="212">
        <v>420064</v>
      </c>
    </row>
    <row r="789" spans="1:10" ht="14.1" customHeight="1" x14ac:dyDescent="0.15">
      <c r="A789" s="221"/>
      <c r="B789" s="221"/>
      <c r="C789" s="221"/>
      <c r="D789" s="210" t="s">
        <v>74</v>
      </c>
      <c r="E789" s="212">
        <v>20</v>
      </c>
      <c r="F789" s="212">
        <v>11461</v>
      </c>
      <c r="G789" s="212">
        <v>229220</v>
      </c>
      <c r="H789" s="212">
        <v>1421</v>
      </c>
      <c r="I789" s="212">
        <v>28420</v>
      </c>
      <c r="J789" s="212">
        <v>200800</v>
      </c>
    </row>
    <row r="790" spans="1:10" ht="14.1" customHeight="1" x14ac:dyDescent="0.15">
      <c r="A790" s="221"/>
      <c r="B790" s="221"/>
      <c r="C790" s="221"/>
      <c r="D790" s="210" t="s">
        <v>71</v>
      </c>
      <c r="E790" s="212">
        <v>50</v>
      </c>
      <c r="F790" s="212">
        <v>8249</v>
      </c>
      <c r="G790" s="212">
        <v>412450</v>
      </c>
      <c r="H790" s="212">
        <v>1421</v>
      </c>
      <c r="I790" s="212">
        <v>71050</v>
      </c>
      <c r="J790" s="212">
        <v>341400</v>
      </c>
    </row>
    <row r="791" spans="1:10" ht="14.1" customHeight="1" x14ac:dyDescent="0.15">
      <c r="A791" s="221"/>
      <c r="B791" s="221"/>
      <c r="C791" s="221"/>
      <c r="D791" s="210" t="s">
        <v>72</v>
      </c>
      <c r="E791" s="212">
        <v>1</v>
      </c>
      <c r="F791" s="212">
        <v>5672</v>
      </c>
      <c r="G791" s="212">
        <v>5672</v>
      </c>
      <c r="H791" s="212">
        <v>1421</v>
      </c>
      <c r="I791" s="212">
        <v>1421</v>
      </c>
      <c r="J791" s="212">
        <v>4251</v>
      </c>
    </row>
    <row r="792" spans="1:10" ht="14.1" customHeight="1" x14ac:dyDescent="0.15">
      <c r="A792" s="221"/>
      <c r="B792" s="221"/>
      <c r="C792" s="221"/>
      <c r="D792" s="210" t="s">
        <v>75</v>
      </c>
      <c r="E792" s="212">
        <v>4</v>
      </c>
      <c r="F792" s="212">
        <v>2626</v>
      </c>
      <c r="G792" s="212">
        <v>10504</v>
      </c>
      <c r="H792" s="212">
        <v>1421</v>
      </c>
      <c r="I792" s="212">
        <v>5684</v>
      </c>
      <c r="J792" s="212">
        <v>4820</v>
      </c>
    </row>
    <row r="793" spans="1:10" ht="14.1" customHeight="1" x14ac:dyDescent="0.15">
      <c r="A793" s="221"/>
      <c r="B793" s="221"/>
      <c r="C793" s="221"/>
      <c r="D793" s="210" t="s">
        <v>139</v>
      </c>
      <c r="E793" s="212">
        <v>82</v>
      </c>
      <c r="F793" s="212">
        <v>5518</v>
      </c>
      <c r="G793" s="212">
        <v>452476</v>
      </c>
      <c r="H793" s="212">
        <v>1421</v>
      </c>
      <c r="I793" s="212">
        <v>116522</v>
      </c>
      <c r="J793" s="212">
        <v>335954</v>
      </c>
    </row>
    <row r="794" spans="1:10" ht="14.1" customHeight="1" x14ac:dyDescent="0.15">
      <c r="A794" s="221"/>
      <c r="B794" s="221"/>
      <c r="C794" s="221"/>
      <c r="D794" s="210" t="s">
        <v>140</v>
      </c>
      <c r="E794" s="212">
        <v>14</v>
      </c>
      <c r="F794" s="212">
        <v>6524</v>
      </c>
      <c r="G794" s="212">
        <v>91336</v>
      </c>
      <c r="H794" s="212">
        <v>1421</v>
      </c>
      <c r="I794" s="212">
        <v>19894</v>
      </c>
      <c r="J794" s="212">
        <v>71442</v>
      </c>
    </row>
    <row r="795" spans="1:10" ht="29.1" customHeight="1" x14ac:dyDescent="0.15">
      <c r="A795" s="221"/>
      <c r="B795" s="221"/>
      <c r="C795" s="222" t="s">
        <v>160</v>
      </c>
      <c r="D795" s="210" t="s">
        <v>70</v>
      </c>
      <c r="E795" s="212">
        <v>27</v>
      </c>
      <c r="F795" s="212">
        <v>3760</v>
      </c>
      <c r="G795" s="212">
        <v>101509</v>
      </c>
      <c r="H795" s="212">
        <v>1367</v>
      </c>
      <c r="I795" s="212">
        <v>36909</v>
      </c>
      <c r="J795" s="212">
        <v>64600</v>
      </c>
    </row>
    <row r="796" spans="1:10" ht="14.1" customHeight="1" x14ac:dyDescent="0.15">
      <c r="A796" s="221"/>
      <c r="B796" s="221"/>
      <c r="C796" s="221"/>
      <c r="D796" s="210" t="s">
        <v>88</v>
      </c>
      <c r="E796" s="212">
        <v>9</v>
      </c>
      <c r="F796" s="212">
        <v>62579</v>
      </c>
      <c r="G796" s="212">
        <v>563211</v>
      </c>
      <c r="H796" s="212">
        <v>1367</v>
      </c>
      <c r="I796" s="212">
        <v>12303</v>
      </c>
      <c r="J796" s="212">
        <v>550908</v>
      </c>
    </row>
    <row r="797" spans="1:10" ht="14.1" customHeight="1" x14ac:dyDescent="0.15">
      <c r="A797" s="221"/>
      <c r="B797" s="221"/>
      <c r="C797" s="221"/>
      <c r="D797" s="210" t="s">
        <v>101</v>
      </c>
      <c r="E797" s="212">
        <v>4</v>
      </c>
      <c r="F797" s="212">
        <v>46353</v>
      </c>
      <c r="G797" s="212">
        <v>185412</v>
      </c>
      <c r="H797" s="212">
        <v>1367</v>
      </c>
      <c r="I797" s="212">
        <v>5468</v>
      </c>
      <c r="J797" s="212">
        <v>179944</v>
      </c>
    </row>
    <row r="798" spans="1:10" ht="14.1" customHeight="1" x14ac:dyDescent="0.15">
      <c r="A798" s="221"/>
      <c r="B798" s="221"/>
      <c r="C798" s="221"/>
      <c r="D798" s="210" t="s">
        <v>79</v>
      </c>
      <c r="E798" s="212">
        <v>93</v>
      </c>
      <c r="F798" s="212">
        <v>28056</v>
      </c>
      <c r="G798" s="212">
        <v>2609239</v>
      </c>
      <c r="H798" s="212">
        <v>1367</v>
      </c>
      <c r="I798" s="212">
        <v>127131</v>
      </c>
      <c r="J798" s="212">
        <v>2482108</v>
      </c>
    </row>
    <row r="799" spans="1:10" ht="14.1" customHeight="1" x14ac:dyDescent="0.15">
      <c r="A799" s="221"/>
      <c r="B799" s="221"/>
      <c r="C799" s="221"/>
      <c r="D799" s="210" t="s">
        <v>73</v>
      </c>
      <c r="E799" s="212">
        <v>101</v>
      </c>
      <c r="F799" s="212">
        <v>14329</v>
      </c>
      <c r="G799" s="212">
        <v>1447269</v>
      </c>
      <c r="H799" s="212">
        <v>1367</v>
      </c>
      <c r="I799" s="212">
        <v>138067</v>
      </c>
      <c r="J799" s="212">
        <v>1309202</v>
      </c>
    </row>
    <row r="800" spans="1:10" ht="14.1" customHeight="1" x14ac:dyDescent="0.15">
      <c r="A800" s="221"/>
      <c r="B800" s="221"/>
      <c r="C800" s="221"/>
      <c r="D800" s="210" t="s">
        <v>74</v>
      </c>
      <c r="E800" s="212">
        <v>71</v>
      </c>
      <c r="F800" s="212">
        <v>11398</v>
      </c>
      <c r="G800" s="212">
        <v>809232</v>
      </c>
      <c r="H800" s="212">
        <v>1367</v>
      </c>
      <c r="I800" s="212">
        <v>97057</v>
      </c>
      <c r="J800" s="212">
        <v>712175</v>
      </c>
    </row>
    <row r="801" spans="1:10" ht="14.1" customHeight="1" x14ac:dyDescent="0.15">
      <c r="A801" s="221"/>
      <c r="B801" s="221"/>
      <c r="C801" s="221"/>
      <c r="D801" s="210" t="s">
        <v>71</v>
      </c>
      <c r="E801" s="212">
        <v>49</v>
      </c>
      <c r="F801" s="212">
        <v>8114</v>
      </c>
      <c r="G801" s="212">
        <v>397565</v>
      </c>
      <c r="H801" s="212">
        <v>1367</v>
      </c>
      <c r="I801" s="212">
        <v>66983</v>
      </c>
      <c r="J801" s="212">
        <v>330582</v>
      </c>
    </row>
    <row r="802" spans="1:10" ht="14.1" customHeight="1" x14ac:dyDescent="0.15">
      <c r="A802" s="221"/>
      <c r="B802" s="221"/>
      <c r="C802" s="221"/>
      <c r="D802" s="210" t="s">
        <v>82</v>
      </c>
      <c r="E802" s="212">
        <v>3</v>
      </c>
      <c r="F802" s="212">
        <v>3112</v>
      </c>
      <c r="G802" s="212">
        <v>9336</v>
      </c>
      <c r="H802" s="212">
        <v>1367</v>
      </c>
      <c r="I802" s="212">
        <v>4101</v>
      </c>
      <c r="J802" s="212">
        <v>5235</v>
      </c>
    </row>
    <row r="803" spans="1:10" ht="14.1" customHeight="1" x14ac:dyDescent="0.15">
      <c r="A803" s="221"/>
      <c r="B803" s="221"/>
      <c r="C803" s="221"/>
      <c r="D803" s="210" t="s">
        <v>75</v>
      </c>
      <c r="E803" s="212">
        <v>3</v>
      </c>
      <c r="F803" s="212">
        <v>2572</v>
      </c>
      <c r="G803" s="212">
        <v>7716</v>
      </c>
      <c r="H803" s="212">
        <v>1367</v>
      </c>
      <c r="I803" s="212">
        <v>4101</v>
      </c>
      <c r="J803" s="212">
        <v>3615</v>
      </c>
    </row>
    <row r="804" spans="1:10" ht="14.1" customHeight="1" x14ac:dyDescent="0.15">
      <c r="A804" s="221"/>
      <c r="B804" s="221"/>
      <c r="C804" s="221"/>
      <c r="D804" s="210" t="s">
        <v>139</v>
      </c>
      <c r="E804" s="212">
        <v>25</v>
      </c>
      <c r="F804" s="212">
        <v>5437</v>
      </c>
      <c r="G804" s="212">
        <v>135935</v>
      </c>
      <c r="H804" s="212">
        <v>1367</v>
      </c>
      <c r="I804" s="212">
        <v>34175</v>
      </c>
      <c r="J804" s="212">
        <v>101760</v>
      </c>
    </row>
    <row r="805" spans="1:10" ht="14.1" customHeight="1" x14ac:dyDescent="0.15">
      <c r="A805" s="221"/>
      <c r="B805" s="221"/>
      <c r="C805" s="221"/>
      <c r="D805" s="210" t="s">
        <v>140</v>
      </c>
      <c r="E805" s="212">
        <v>5</v>
      </c>
      <c r="F805" s="212">
        <v>6337</v>
      </c>
      <c r="G805" s="212">
        <v>31685</v>
      </c>
      <c r="H805" s="212">
        <v>1367</v>
      </c>
      <c r="I805" s="212">
        <v>6835</v>
      </c>
      <c r="J805" s="212">
        <v>24850</v>
      </c>
    </row>
    <row r="806" spans="1:10" ht="29.1" customHeight="1" x14ac:dyDescent="0.15">
      <c r="A806" s="221"/>
      <c r="B806" s="221"/>
      <c r="C806" s="222" t="s">
        <v>161</v>
      </c>
      <c r="D806" s="210" t="s">
        <v>70</v>
      </c>
      <c r="E806" s="212">
        <v>1650</v>
      </c>
      <c r="F806" s="212">
        <v>3267</v>
      </c>
      <c r="G806" s="212">
        <v>5390550</v>
      </c>
      <c r="H806" s="212">
        <v>702</v>
      </c>
      <c r="I806" s="212">
        <v>1158300</v>
      </c>
      <c r="J806" s="212">
        <v>4232250</v>
      </c>
    </row>
    <row r="807" spans="1:10" ht="14.1" customHeight="1" x14ac:dyDescent="0.15">
      <c r="A807" s="221"/>
      <c r="B807" s="221"/>
      <c r="C807" s="221"/>
      <c r="D807" s="210" t="s">
        <v>88</v>
      </c>
      <c r="E807" s="212">
        <v>77</v>
      </c>
      <c r="F807" s="212">
        <v>61914</v>
      </c>
      <c r="G807" s="212">
        <v>4767378</v>
      </c>
      <c r="H807" s="212">
        <v>702</v>
      </c>
      <c r="I807" s="212">
        <v>54054</v>
      </c>
      <c r="J807" s="212">
        <v>4713324</v>
      </c>
    </row>
    <row r="808" spans="1:10" ht="14.1" customHeight="1" x14ac:dyDescent="0.15">
      <c r="A808" s="221"/>
      <c r="B808" s="221"/>
      <c r="C808" s="221"/>
      <c r="D808" s="210" t="s">
        <v>101</v>
      </c>
      <c r="E808" s="212">
        <v>17</v>
      </c>
      <c r="F808" s="212">
        <v>45688</v>
      </c>
      <c r="G808" s="212">
        <v>776696</v>
      </c>
      <c r="H808" s="212">
        <v>702</v>
      </c>
      <c r="I808" s="212">
        <v>11934</v>
      </c>
      <c r="J808" s="212">
        <v>764762</v>
      </c>
    </row>
    <row r="809" spans="1:10" ht="14.1" customHeight="1" x14ac:dyDescent="0.15">
      <c r="A809" s="221"/>
      <c r="B809" s="221"/>
      <c r="C809" s="221"/>
      <c r="D809" s="210" t="s">
        <v>79</v>
      </c>
      <c r="E809" s="212">
        <v>3176</v>
      </c>
      <c r="F809" s="212">
        <v>27613</v>
      </c>
      <c r="G809" s="212">
        <v>87698888</v>
      </c>
      <c r="H809" s="212">
        <v>702</v>
      </c>
      <c r="I809" s="212">
        <v>2229552</v>
      </c>
      <c r="J809" s="212">
        <v>85469336</v>
      </c>
    </row>
    <row r="810" spans="1:10" ht="14.1" customHeight="1" x14ac:dyDescent="0.15">
      <c r="A810" s="221"/>
      <c r="B810" s="221"/>
      <c r="C810" s="221"/>
      <c r="D810" s="210" t="s">
        <v>73</v>
      </c>
      <c r="E810" s="212">
        <v>7682</v>
      </c>
      <c r="F810" s="212">
        <v>13829</v>
      </c>
      <c r="G810" s="212">
        <v>106234378</v>
      </c>
      <c r="H810" s="212">
        <v>702</v>
      </c>
      <c r="I810" s="212">
        <v>5392764</v>
      </c>
      <c r="J810" s="212">
        <v>100841614</v>
      </c>
    </row>
    <row r="811" spans="1:10" ht="14.1" customHeight="1" x14ac:dyDescent="0.15">
      <c r="A811" s="221"/>
      <c r="B811" s="221"/>
      <c r="C811" s="221"/>
      <c r="D811" s="210" t="s">
        <v>74</v>
      </c>
      <c r="E811" s="212">
        <v>2347</v>
      </c>
      <c r="F811" s="212">
        <v>10742</v>
      </c>
      <c r="G811" s="212">
        <v>25211474</v>
      </c>
      <c r="H811" s="212">
        <v>702</v>
      </c>
      <c r="I811" s="212">
        <v>1647594</v>
      </c>
      <c r="J811" s="212">
        <v>23563880</v>
      </c>
    </row>
    <row r="812" spans="1:10" ht="14.1" customHeight="1" x14ac:dyDescent="0.15">
      <c r="A812" s="221"/>
      <c r="B812" s="221"/>
      <c r="C812" s="221"/>
      <c r="D812" s="210" t="s">
        <v>71</v>
      </c>
      <c r="E812" s="212">
        <v>1288</v>
      </c>
      <c r="F812" s="212">
        <v>7530</v>
      </c>
      <c r="G812" s="212">
        <v>9698640</v>
      </c>
      <c r="H812" s="212">
        <v>702</v>
      </c>
      <c r="I812" s="212">
        <v>904176</v>
      </c>
      <c r="J812" s="212">
        <v>8794464</v>
      </c>
    </row>
    <row r="813" spans="1:10" ht="14.1" customHeight="1" x14ac:dyDescent="0.15">
      <c r="A813" s="221"/>
      <c r="B813" s="221"/>
      <c r="C813" s="221"/>
      <c r="D813" s="210" t="s">
        <v>72</v>
      </c>
      <c r="E813" s="212">
        <v>138</v>
      </c>
      <c r="F813" s="212">
        <v>4953</v>
      </c>
      <c r="G813" s="212">
        <v>683514</v>
      </c>
      <c r="H813" s="212">
        <v>702</v>
      </c>
      <c r="I813" s="212">
        <v>96876</v>
      </c>
      <c r="J813" s="212">
        <v>586638</v>
      </c>
    </row>
    <row r="814" spans="1:10" ht="14.1" customHeight="1" x14ac:dyDescent="0.15">
      <c r="A814" s="221"/>
      <c r="B814" s="221"/>
      <c r="C814" s="221"/>
      <c r="D814" s="210" t="s">
        <v>82</v>
      </c>
      <c r="E814" s="212">
        <v>5307</v>
      </c>
      <c r="F814" s="212">
        <v>3112</v>
      </c>
      <c r="G814" s="212">
        <v>16515384</v>
      </c>
      <c r="H814" s="212">
        <v>702</v>
      </c>
      <c r="I814" s="212">
        <v>3725514</v>
      </c>
      <c r="J814" s="212">
        <v>12789870</v>
      </c>
    </row>
    <row r="815" spans="1:10" ht="14.1" customHeight="1" x14ac:dyDescent="0.15">
      <c r="A815" s="221"/>
      <c r="B815" s="221"/>
      <c r="C815" s="221"/>
      <c r="D815" s="210" t="s">
        <v>75</v>
      </c>
      <c r="E815" s="212">
        <v>166</v>
      </c>
      <c r="F815" s="212">
        <v>1907</v>
      </c>
      <c r="G815" s="212">
        <v>316562</v>
      </c>
      <c r="H815" s="212">
        <v>702</v>
      </c>
      <c r="I815" s="212">
        <v>116532</v>
      </c>
      <c r="J815" s="212">
        <v>200030</v>
      </c>
    </row>
    <row r="816" spans="1:10" ht="14.1" customHeight="1" x14ac:dyDescent="0.15">
      <c r="A816" s="221"/>
      <c r="B816" s="221"/>
      <c r="C816" s="221"/>
      <c r="D816" s="210" t="s">
        <v>92</v>
      </c>
      <c r="E816" s="212">
        <v>2</v>
      </c>
      <c r="F816" s="212">
        <v>1244</v>
      </c>
      <c r="G816" s="212">
        <v>2488</v>
      </c>
      <c r="H816" s="212">
        <v>702</v>
      </c>
      <c r="I816" s="212">
        <v>1404</v>
      </c>
      <c r="J816" s="212">
        <v>1084</v>
      </c>
    </row>
    <row r="817" spans="1:10" ht="14.1" customHeight="1" x14ac:dyDescent="0.15">
      <c r="A817" s="221"/>
      <c r="B817" s="221"/>
      <c r="C817" s="221"/>
      <c r="D817" s="210" t="s">
        <v>69</v>
      </c>
      <c r="E817" s="212">
        <v>65</v>
      </c>
      <c r="F817" s="212">
        <v>24895</v>
      </c>
      <c r="G817" s="212">
        <v>1618175</v>
      </c>
      <c r="H817" s="212">
        <v>702</v>
      </c>
      <c r="I817" s="212">
        <v>45630</v>
      </c>
      <c r="J817" s="212">
        <v>1572545</v>
      </c>
    </row>
    <row r="818" spans="1:10" ht="14.1" customHeight="1" x14ac:dyDescent="0.15">
      <c r="A818" s="221"/>
      <c r="B818" s="221"/>
      <c r="C818" s="221"/>
      <c r="D818" s="210" t="s">
        <v>139</v>
      </c>
      <c r="E818" s="212">
        <v>1753</v>
      </c>
      <c r="F818" s="212">
        <v>4799</v>
      </c>
      <c r="G818" s="212">
        <v>8412647</v>
      </c>
      <c r="H818" s="212">
        <v>702</v>
      </c>
      <c r="I818" s="212">
        <v>1230606</v>
      </c>
      <c r="J818" s="212">
        <v>7182041</v>
      </c>
    </row>
    <row r="819" spans="1:10" ht="14.1" customHeight="1" x14ac:dyDescent="0.15">
      <c r="A819" s="221"/>
      <c r="B819" s="221"/>
      <c r="C819" s="221"/>
      <c r="D819" s="210" t="s">
        <v>140</v>
      </c>
      <c r="E819" s="212">
        <v>1769</v>
      </c>
      <c r="F819" s="212">
        <v>5805</v>
      </c>
      <c r="G819" s="212">
        <v>10269045</v>
      </c>
      <c r="H819" s="212">
        <v>702</v>
      </c>
      <c r="I819" s="212">
        <v>1241838</v>
      </c>
      <c r="J819" s="212">
        <v>9027207</v>
      </c>
    </row>
    <row r="820" spans="1:10" ht="14.1" customHeight="1" x14ac:dyDescent="0.15">
      <c r="A820" s="221"/>
      <c r="B820" s="220" t="s">
        <v>168</v>
      </c>
      <c r="C820" s="223" t="s">
        <v>67</v>
      </c>
      <c r="D820" s="210" t="s">
        <v>144</v>
      </c>
      <c r="E820" s="212">
        <v>3</v>
      </c>
      <c r="F820" s="212">
        <v>44986</v>
      </c>
      <c r="G820" s="212">
        <v>134958</v>
      </c>
      <c r="H820" s="212">
        <v>925</v>
      </c>
      <c r="I820" s="212">
        <v>2775</v>
      </c>
      <c r="J820" s="212">
        <v>132183</v>
      </c>
    </row>
    <row r="821" spans="1:10" ht="14.1" customHeight="1" x14ac:dyDescent="0.15">
      <c r="A821" s="221"/>
      <c r="B821" s="221"/>
      <c r="C821" s="221"/>
      <c r="D821" s="210" t="s">
        <v>145</v>
      </c>
      <c r="E821" s="212">
        <v>23</v>
      </c>
      <c r="F821" s="212">
        <v>26911</v>
      </c>
      <c r="G821" s="212">
        <v>618953</v>
      </c>
      <c r="H821" s="212">
        <v>925</v>
      </c>
      <c r="I821" s="212">
        <v>21275</v>
      </c>
      <c r="J821" s="212">
        <v>597678</v>
      </c>
    </row>
    <row r="822" spans="1:10" ht="14.1" customHeight="1" x14ac:dyDescent="0.15">
      <c r="A822" s="221"/>
      <c r="B822" s="221"/>
      <c r="C822" s="221"/>
      <c r="D822" s="210" t="s">
        <v>85</v>
      </c>
      <c r="E822" s="212">
        <v>238</v>
      </c>
      <c r="F822" s="212">
        <v>26911</v>
      </c>
      <c r="G822" s="212">
        <v>6404818</v>
      </c>
      <c r="H822" s="212">
        <v>925</v>
      </c>
      <c r="I822" s="212">
        <v>220150</v>
      </c>
      <c r="J822" s="212">
        <v>6184668</v>
      </c>
    </row>
    <row r="823" spans="1:10" ht="14.1" customHeight="1" x14ac:dyDescent="0.15">
      <c r="A823" s="221"/>
      <c r="B823" s="221"/>
      <c r="C823" s="221"/>
      <c r="D823" s="210" t="s">
        <v>141</v>
      </c>
      <c r="E823" s="212">
        <v>65</v>
      </c>
      <c r="F823" s="212">
        <v>13127</v>
      </c>
      <c r="G823" s="212">
        <v>853255</v>
      </c>
      <c r="H823" s="212">
        <v>925</v>
      </c>
      <c r="I823" s="212">
        <v>60125</v>
      </c>
      <c r="J823" s="212">
        <v>793130</v>
      </c>
    </row>
    <row r="824" spans="1:10" ht="14.1" customHeight="1" x14ac:dyDescent="0.15">
      <c r="A824" s="221"/>
      <c r="B824" s="221"/>
      <c r="C824" s="221"/>
      <c r="D824" s="210" t="s">
        <v>78</v>
      </c>
      <c r="E824" s="212">
        <v>15</v>
      </c>
      <c r="F824" s="212">
        <v>13127</v>
      </c>
      <c r="G824" s="212">
        <v>196905</v>
      </c>
      <c r="H824" s="212">
        <v>925</v>
      </c>
      <c r="I824" s="212">
        <v>13875</v>
      </c>
      <c r="J824" s="212">
        <v>183030</v>
      </c>
    </row>
    <row r="825" spans="1:10" ht="14.1" customHeight="1" x14ac:dyDescent="0.15">
      <c r="A825" s="221"/>
      <c r="B825" s="221"/>
      <c r="C825" s="221"/>
      <c r="D825" s="210" t="s">
        <v>146</v>
      </c>
      <c r="E825" s="212">
        <v>214</v>
      </c>
      <c r="F825" s="212">
        <v>10040</v>
      </c>
      <c r="G825" s="212">
        <v>2148560</v>
      </c>
      <c r="H825" s="212">
        <v>925</v>
      </c>
      <c r="I825" s="212">
        <v>197950</v>
      </c>
      <c r="J825" s="212">
        <v>1950610</v>
      </c>
    </row>
    <row r="826" spans="1:10" ht="14.1" customHeight="1" x14ac:dyDescent="0.15">
      <c r="A826" s="221"/>
      <c r="B826" s="221"/>
      <c r="C826" s="221"/>
      <c r="D826" s="210" t="s">
        <v>83</v>
      </c>
      <c r="E826" s="212">
        <v>17</v>
      </c>
      <c r="F826" s="212">
        <v>10040</v>
      </c>
      <c r="G826" s="212">
        <v>170680</v>
      </c>
      <c r="H826" s="212">
        <v>925</v>
      </c>
      <c r="I826" s="212">
        <v>15725</v>
      </c>
      <c r="J826" s="212">
        <v>154955</v>
      </c>
    </row>
    <row r="827" spans="1:10" ht="14.1" customHeight="1" x14ac:dyDescent="0.15">
      <c r="A827" s="221"/>
      <c r="B827" s="221"/>
      <c r="C827" s="221"/>
      <c r="D827" s="210" t="s">
        <v>136</v>
      </c>
      <c r="E827" s="212">
        <v>190</v>
      </c>
      <c r="F827" s="212">
        <v>6828</v>
      </c>
      <c r="G827" s="212">
        <v>1297320</v>
      </c>
      <c r="H827" s="212">
        <v>925</v>
      </c>
      <c r="I827" s="212">
        <v>175750</v>
      </c>
      <c r="J827" s="212">
        <v>1121570</v>
      </c>
    </row>
    <row r="828" spans="1:10" ht="14.1" customHeight="1" x14ac:dyDescent="0.15">
      <c r="A828" s="221"/>
      <c r="B828" s="221"/>
      <c r="C828" s="221"/>
      <c r="D828" s="210" t="s">
        <v>77</v>
      </c>
      <c r="E828" s="212">
        <v>371</v>
      </c>
      <c r="F828" s="212">
        <v>6828</v>
      </c>
      <c r="G828" s="212">
        <v>2533188</v>
      </c>
      <c r="H828" s="212">
        <v>925</v>
      </c>
      <c r="I828" s="212">
        <v>343175</v>
      </c>
      <c r="J828" s="212">
        <v>2190013</v>
      </c>
    </row>
    <row r="829" spans="1:10" ht="14.1" customHeight="1" x14ac:dyDescent="0.15">
      <c r="A829" s="221"/>
      <c r="B829" s="221"/>
      <c r="C829" s="221"/>
      <c r="D829" s="210" t="s">
        <v>149</v>
      </c>
      <c r="E829" s="212">
        <v>4</v>
      </c>
      <c r="F829" s="212">
        <v>4251</v>
      </c>
      <c r="G829" s="212">
        <v>17004</v>
      </c>
      <c r="H829" s="212">
        <v>925</v>
      </c>
      <c r="I829" s="212">
        <v>3700</v>
      </c>
      <c r="J829" s="212">
        <v>13304</v>
      </c>
    </row>
    <row r="830" spans="1:10" ht="14.1" customHeight="1" x14ac:dyDescent="0.15">
      <c r="A830" s="221"/>
      <c r="B830" s="221"/>
      <c r="C830" s="221"/>
      <c r="D830" s="210" t="s">
        <v>86</v>
      </c>
      <c r="E830" s="212">
        <v>13</v>
      </c>
      <c r="F830" s="212">
        <v>4251</v>
      </c>
      <c r="G830" s="212">
        <v>55263</v>
      </c>
      <c r="H830" s="212">
        <v>925</v>
      </c>
      <c r="I830" s="212">
        <v>12025</v>
      </c>
      <c r="J830" s="212">
        <v>43238</v>
      </c>
    </row>
    <row r="831" spans="1:10" ht="14.1" customHeight="1" x14ac:dyDescent="0.15">
      <c r="A831" s="221"/>
      <c r="B831" s="221"/>
      <c r="C831" s="221"/>
      <c r="D831" s="210" t="s">
        <v>147</v>
      </c>
      <c r="E831" s="212">
        <v>6</v>
      </c>
      <c r="F831" s="212">
        <v>2410</v>
      </c>
      <c r="G831" s="212">
        <v>14460</v>
      </c>
      <c r="H831" s="212">
        <v>925</v>
      </c>
      <c r="I831" s="212">
        <v>5550</v>
      </c>
      <c r="J831" s="212">
        <v>8910</v>
      </c>
    </row>
    <row r="832" spans="1:10" ht="14.1" customHeight="1" x14ac:dyDescent="0.15">
      <c r="A832" s="221"/>
      <c r="B832" s="221"/>
      <c r="C832" s="221"/>
      <c r="D832" s="210" t="s">
        <v>84</v>
      </c>
      <c r="E832" s="212">
        <v>34</v>
      </c>
      <c r="F832" s="212">
        <v>2410</v>
      </c>
      <c r="G832" s="212">
        <v>81940</v>
      </c>
      <c r="H832" s="212">
        <v>925</v>
      </c>
      <c r="I832" s="212">
        <v>31450</v>
      </c>
      <c r="J832" s="212">
        <v>50490</v>
      </c>
    </row>
    <row r="833" spans="1:10" ht="14.1" customHeight="1" x14ac:dyDescent="0.15">
      <c r="A833" s="221"/>
      <c r="B833" s="221"/>
      <c r="C833" s="221"/>
      <c r="D833" s="210" t="s">
        <v>148</v>
      </c>
      <c r="E833" s="212">
        <v>4</v>
      </c>
      <c r="F833" s="212">
        <v>1205</v>
      </c>
      <c r="G833" s="212">
        <v>4820</v>
      </c>
      <c r="H833" s="212">
        <v>925</v>
      </c>
      <c r="I833" s="212">
        <v>3700</v>
      </c>
      <c r="J833" s="212">
        <v>1120</v>
      </c>
    </row>
    <row r="834" spans="1:10" ht="14.1" customHeight="1" x14ac:dyDescent="0.15">
      <c r="A834" s="221"/>
      <c r="B834" s="221"/>
      <c r="C834" s="221"/>
      <c r="D834" s="210" t="s">
        <v>89</v>
      </c>
      <c r="E834" s="212">
        <v>3</v>
      </c>
      <c r="F834" s="212">
        <v>1205</v>
      </c>
      <c r="G834" s="212">
        <v>3615</v>
      </c>
      <c r="H834" s="212">
        <v>925</v>
      </c>
      <c r="I834" s="212">
        <v>2775</v>
      </c>
      <c r="J834" s="212">
        <v>840</v>
      </c>
    </row>
    <row r="835" spans="1:10" ht="29.1" customHeight="1" x14ac:dyDescent="0.15">
      <c r="A835" s="221"/>
      <c r="B835" s="221"/>
      <c r="C835" s="222" t="s">
        <v>159</v>
      </c>
      <c r="D835" s="210" t="s">
        <v>101</v>
      </c>
      <c r="E835" s="212">
        <v>1</v>
      </c>
      <c r="F835" s="212">
        <v>46407</v>
      </c>
      <c r="G835" s="212">
        <v>46407</v>
      </c>
      <c r="H835" s="212">
        <v>2346</v>
      </c>
      <c r="I835" s="212">
        <v>2346</v>
      </c>
      <c r="J835" s="212">
        <v>44061</v>
      </c>
    </row>
    <row r="836" spans="1:10" ht="14.1" customHeight="1" x14ac:dyDescent="0.15">
      <c r="A836" s="221"/>
      <c r="B836" s="221"/>
      <c r="C836" s="221"/>
      <c r="D836" s="210" t="s">
        <v>79</v>
      </c>
      <c r="E836" s="212">
        <v>40</v>
      </c>
      <c r="F836" s="212">
        <v>28332</v>
      </c>
      <c r="G836" s="212">
        <v>1133280</v>
      </c>
      <c r="H836" s="212">
        <v>2346</v>
      </c>
      <c r="I836" s="212">
        <v>93840</v>
      </c>
      <c r="J836" s="212">
        <v>1039440</v>
      </c>
    </row>
    <row r="837" spans="1:10" ht="14.1" customHeight="1" x14ac:dyDescent="0.15">
      <c r="A837" s="221"/>
      <c r="B837" s="221"/>
      <c r="C837" s="221"/>
      <c r="D837" s="210" t="s">
        <v>73</v>
      </c>
      <c r="E837" s="212">
        <v>5</v>
      </c>
      <c r="F837" s="212">
        <v>14548</v>
      </c>
      <c r="G837" s="212">
        <v>72740</v>
      </c>
      <c r="H837" s="212">
        <v>2346</v>
      </c>
      <c r="I837" s="212">
        <v>11730</v>
      </c>
      <c r="J837" s="212">
        <v>61010</v>
      </c>
    </row>
    <row r="838" spans="1:10" ht="14.1" customHeight="1" x14ac:dyDescent="0.15">
      <c r="A838" s="221"/>
      <c r="B838" s="221"/>
      <c r="C838" s="221"/>
      <c r="D838" s="210" t="s">
        <v>74</v>
      </c>
      <c r="E838" s="212">
        <v>7</v>
      </c>
      <c r="F838" s="212">
        <v>11461</v>
      </c>
      <c r="G838" s="212">
        <v>80227</v>
      </c>
      <c r="H838" s="212">
        <v>2346</v>
      </c>
      <c r="I838" s="212">
        <v>16422</v>
      </c>
      <c r="J838" s="212">
        <v>63805</v>
      </c>
    </row>
    <row r="839" spans="1:10" ht="14.1" customHeight="1" x14ac:dyDescent="0.15">
      <c r="A839" s="221"/>
      <c r="B839" s="221"/>
      <c r="C839" s="221"/>
      <c r="D839" s="210" t="s">
        <v>71</v>
      </c>
      <c r="E839" s="212">
        <v>280</v>
      </c>
      <c r="F839" s="212">
        <v>8249</v>
      </c>
      <c r="G839" s="212">
        <v>2309720</v>
      </c>
      <c r="H839" s="212">
        <v>2346</v>
      </c>
      <c r="I839" s="212">
        <v>656880</v>
      </c>
      <c r="J839" s="212">
        <v>1652840</v>
      </c>
    </row>
    <row r="840" spans="1:10" ht="14.1" customHeight="1" x14ac:dyDescent="0.15">
      <c r="A840" s="221"/>
      <c r="B840" s="221"/>
      <c r="C840" s="221"/>
      <c r="D840" s="210" t="s">
        <v>82</v>
      </c>
      <c r="E840" s="212">
        <v>1</v>
      </c>
      <c r="F840" s="212">
        <v>3831</v>
      </c>
      <c r="G840" s="212">
        <v>3831</v>
      </c>
      <c r="H840" s="212">
        <v>2346</v>
      </c>
      <c r="I840" s="212">
        <v>2346</v>
      </c>
      <c r="J840" s="212">
        <v>1485</v>
      </c>
    </row>
    <row r="841" spans="1:10" ht="14.1" customHeight="1" x14ac:dyDescent="0.15">
      <c r="A841" s="221"/>
      <c r="B841" s="221"/>
      <c r="C841" s="221"/>
      <c r="D841" s="210" t="s">
        <v>75</v>
      </c>
      <c r="E841" s="212">
        <v>1</v>
      </c>
      <c r="F841" s="212">
        <v>2626</v>
      </c>
      <c r="G841" s="212">
        <v>2626</v>
      </c>
      <c r="H841" s="212">
        <v>2346</v>
      </c>
      <c r="I841" s="212">
        <v>2346</v>
      </c>
      <c r="J841" s="212">
        <v>280</v>
      </c>
    </row>
    <row r="842" spans="1:10" ht="29.1" customHeight="1" x14ac:dyDescent="0.15">
      <c r="A842" s="221"/>
      <c r="B842" s="221"/>
      <c r="C842" s="222" t="s">
        <v>160</v>
      </c>
      <c r="D842" s="210" t="s">
        <v>101</v>
      </c>
      <c r="E842" s="212">
        <v>3</v>
      </c>
      <c r="F842" s="212">
        <v>46131</v>
      </c>
      <c r="G842" s="212">
        <v>138394</v>
      </c>
      <c r="H842" s="212">
        <v>2292</v>
      </c>
      <c r="I842" s="212">
        <v>6876</v>
      </c>
      <c r="J842" s="212">
        <v>131518</v>
      </c>
    </row>
    <row r="843" spans="1:10" ht="14.1" customHeight="1" x14ac:dyDescent="0.15">
      <c r="A843" s="221"/>
      <c r="B843" s="221"/>
      <c r="C843" s="221"/>
      <c r="D843" s="210" t="s">
        <v>79</v>
      </c>
      <c r="E843" s="212">
        <v>12</v>
      </c>
      <c r="F843" s="212">
        <v>27668</v>
      </c>
      <c r="G843" s="212">
        <v>332021</v>
      </c>
      <c r="H843" s="212">
        <v>2292</v>
      </c>
      <c r="I843" s="212">
        <v>27504</v>
      </c>
      <c r="J843" s="212">
        <v>304517</v>
      </c>
    </row>
    <row r="844" spans="1:10" ht="14.1" customHeight="1" x14ac:dyDescent="0.15">
      <c r="A844" s="221"/>
      <c r="B844" s="221"/>
      <c r="C844" s="221"/>
      <c r="D844" s="210" t="s">
        <v>73</v>
      </c>
      <c r="E844" s="212">
        <v>19</v>
      </c>
      <c r="F844" s="212">
        <v>14319</v>
      </c>
      <c r="G844" s="212">
        <v>272061</v>
      </c>
      <c r="H844" s="212">
        <v>2292</v>
      </c>
      <c r="I844" s="212">
        <v>43548</v>
      </c>
      <c r="J844" s="212">
        <v>228513</v>
      </c>
    </row>
    <row r="845" spans="1:10" ht="14.1" customHeight="1" x14ac:dyDescent="0.15">
      <c r="A845" s="221"/>
      <c r="B845" s="221"/>
      <c r="C845" s="221"/>
      <c r="D845" s="210" t="s">
        <v>74</v>
      </c>
      <c r="E845" s="212">
        <v>212</v>
      </c>
      <c r="F845" s="212">
        <v>11341</v>
      </c>
      <c r="G845" s="212">
        <v>2404319</v>
      </c>
      <c r="H845" s="212">
        <v>2292</v>
      </c>
      <c r="I845" s="212">
        <v>485904</v>
      </c>
      <c r="J845" s="212">
        <v>1918415</v>
      </c>
    </row>
    <row r="846" spans="1:10" ht="14.1" customHeight="1" x14ac:dyDescent="0.15">
      <c r="A846" s="221"/>
      <c r="B846" s="221"/>
      <c r="C846" s="221"/>
      <c r="D846" s="210" t="s">
        <v>71</v>
      </c>
      <c r="E846" s="212">
        <v>20</v>
      </c>
      <c r="F846" s="212">
        <v>8162</v>
      </c>
      <c r="G846" s="212">
        <v>163235</v>
      </c>
      <c r="H846" s="212">
        <v>2292</v>
      </c>
      <c r="I846" s="212">
        <v>45840</v>
      </c>
      <c r="J846" s="212">
        <v>117395</v>
      </c>
    </row>
    <row r="847" spans="1:10" ht="29.1" customHeight="1" x14ac:dyDescent="0.15">
      <c r="A847" s="221"/>
      <c r="B847" s="221"/>
      <c r="C847" s="222" t="s">
        <v>161</v>
      </c>
      <c r="D847" s="210" t="s">
        <v>88</v>
      </c>
      <c r="E847" s="212">
        <v>41</v>
      </c>
      <c r="F847" s="212">
        <v>61914</v>
      </c>
      <c r="G847" s="212">
        <v>2538474</v>
      </c>
      <c r="H847" s="212">
        <v>1627</v>
      </c>
      <c r="I847" s="212">
        <v>66707</v>
      </c>
      <c r="J847" s="212">
        <v>2471767</v>
      </c>
    </row>
    <row r="848" spans="1:10" ht="14.1" customHeight="1" x14ac:dyDescent="0.15">
      <c r="A848" s="221"/>
      <c r="B848" s="221"/>
      <c r="C848" s="221"/>
      <c r="D848" s="210" t="s">
        <v>101</v>
      </c>
      <c r="E848" s="212">
        <v>362</v>
      </c>
      <c r="F848" s="212">
        <v>45688</v>
      </c>
      <c r="G848" s="212">
        <v>16539056</v>
      </c>
      <c r="H848" s="212">
        <v>1627</v>
      </c>
      <c r="I848" s="212">
        <v>588974</v>
      </c>
      <c r="J848" s="212">
        <v>15950082</v>
      </c>
    </row>
    <row r="849" spans="1:10" ht="14.1" customHeight="1" x14ac:dyDescent="0.15">
      <c r="A849" s="221"/>
      <c r="B849" s="221"/>
      <c r="C849" s="221"/>
      <c r="D849" s="210" t="s">
        <v>79</v>
      </c>
      <c r="E849" s="212">
        <v>4225</v>
      </c>
      <c r="F849" s="212">
        <v>27613</v>
      </c>
      <c r="G849" s="212">
        <v>116664925</v>
      </c>
      <c r="H849" s="212">
        <v>1627</v>
      </c>
      <c r="I849" s="212">
        <v>6874075</v>
      </c>
      <c r="J849" s="212">
        <v>109790850</v>
      </c>
    </row>
    <row r="850" spans="1:10" ht="14.1" customHeight="1" x14ac:dyDescent="0.15">
      <c r="A850" s="221"/>
      <c r="B850" s="221"/>
      <c r="C850" s="221"/>
      <c r="D850" s="210" t="s">
        <v>73</v>
      </c>
      <c r="E850" s="212">
        <v>3443</v>
      </c>
      <c r="F850" s="212">
        <v>13829</v>
      </c>
      <c r="G850" s="212">
        <v>47613247</v>
      </c>
      <c r="H850" s="212">
        <v>1627</v>
      </c>
      <c r="I850" s="212">
        <v>5601761</v>
      </c>
      <c r="J850" s="212">
        <v>42011486</v>
      </c>
    </row>
    <row r="851" spans="1:10" ht="14.1" customHeight="1" x14ac:dyDescent="0.15">
      <c r="A851" s="221"/>
      <c r="B851" s="221"/>
      <c r="C851" s="221"/>
      <c r="D851" s="210" t="s">
        <v>74</v>
      </c>
      <c r="E851" s="212">
        <v>5472</v>
      </c>
      <c r="F851" s="212">
        <v>10742</v>
      </c>
      <c r="G851" s="212">
        <v>58780224</v>
      </c>
      <c r="H851" s="212">
        <v>1627</v>
      </c>
      <c r="I851" s="212">
        <v>8902944</v>
      </c>
      <c r="J851" s="212">
        <v>49877280</v>
      </c>
    </row>
    <row r="852" spans="1:10" ht="14.1" customHeight="1" x14ac:dyDescent="0.15">
      <c r="A852" s="221"/>
      <c r="B852" s="221"/>
      <c r="C852" s="221"/>
      <c r="D852" s="210" t="s">
        <v>71</v>
      </c>
      <c r="E852" s="212">
        <v>11998</v>
      </c>
      <c r="F852" s="212">
        <v>7530</v>
      </c>
      <c r="G852" s="212">
        <v>90344940</v>
      </c>
      <c r="H852" s="212">
        <v>1627</v>
      </c>
      <c r="I852" s="212">
        <v>19520746</v>
      </c>
      <c r="J852" s="212">
        <v>70824194</v>
      </c>
    </row>
    <row r="853" spans="1:10" ht="14.1" customHeight="1" x14ac:dyDescent="0.15">
      <c r="A853" s="221"/>
      <c r="B853" s="221"/>
      <c r="C853" s="221"/>
      <c r="D853" s="210" t="s">
        <v>72</v>
      </c>
      <c r="E853" s="212">
        <v>862</v>
      </c>
      <c r="F853" s="212">
        <v>4953</v>
      </c>
      <c r="G853" s="212">
        <v>4269486</v>
      </c>
      <c r="H853" s="212">
        <v>1627</v>
      </c>
      <c r="I853" s="212">
        <v>1402474</v>
      </c>
      <c r="J853" s="212">
        <v>2867012</v>
      </c>
    </row>
    <row r="854" spans="1:10" ht="14.1" customHeight="1" x14ac:dyDescent="0.15">
      <c r="A854" s="221"/>
      <c r="B854" s="221"/>
      <c r="C854" s="221"/>
      <c r="D854" s="210" t="s">
        <v>82</v>
      </c>
      <c r="E854" s="212">
        <v>650</v>
      </c>
      <c r="F854" s="212">
        <v>3112</v>
      </c>
      <c r="G854" s="212">
        <v>2022800</v>
      </c>
      <c r="H854" s="212">
        <v>1627</v>
      </c>
      <c r="I854" s="212">
        <v>1057550</v>
      </c>
      <c r="J854" s="212">
        <v>965250</v>
      </c>
    </row>
    <row r="855" spans="1:10" ht="14.1" customHeight="1" x14ac:dyDescent="0.15">
      <c r="A855" s="221"/>
      <c r="B855" s="221"/>
      <c r="C855" s="221"/>
      <c r="D855" s="210" t="s">
        <v>75</v>
      </c>
      <c r="E855" s="212">
        <v>542</v>
      </c>
      <c r="F855" s="212">
        <v>1907</v>
      </c>
      <c r="G855" s="212">
        <v>1033594</v>
      </c>
      <c r="H855" s="212">
        <v>1627</v>
      </c>
      <c r="I855" s="212">
        <v>881834</v>
      </c>
      <c r="J855" s="212">
        <v>151760</v>
      </c>
    </row>
    <row r="856" spans="1:10" ht="14.1" customHeight="1" x14ac:dyDescent="0.15">
      <c r="A856" s="221" t="s">
        <v>90</v>
      </c>
      <c r="B856" s="221" t="s">
        <v>53</v>
      </c>
      <c r="C856" s="221"/>
      <c r="D856" s="221"/>
      <c r="E856" s="212">
        <v>4318</v>
      </c>
      <c r="F856" s="212">
        <v>506832</v>
      </c>
      <c r="G856" s="212">
        <v>56775315</v>
      </c>
      <c r="H856" s="212"/>
      <c r="I856" s="212">
        <v>3497501</v>
      </c>
      <c r="J856" s="212">
        <v>53277814</v>
      </c>
    </row>
    <row r="857" spans="1:10" ht="14.1" customHeight="1" x14ac:dyDescent="0.15">
      <c r="A857" s="221"/>
      <c r="B857" s="210" t="s">
        <v>63</v>
      </c>
      <c r="C857" s="210" t="s">
        <v>64</v>
      </c>
      <c r="D857" s="210" t="s">
        <v>65</v>
      </c>
      <c r="E857" s="218">
        <v>1</v>
      </c>
      <c r="F857" s="218">
        <v>10139</v>
      </c>
      <c r="G857" s="218">
        <v>10139</v>
      </c>
      <c r="H857" s="218">
        <v>0</v>
      </c>
      <c r="I857" s="218">
        <v>0</v>
      </c>
      <c r="J857" s="218">
        <v>10139</v>
      </c>
    </row>
    <row r="858" spans="1:10" ht="14.1" customHeight="1" x14ac:dyDescent="0.15">
      <c r="A858" s="221"/>
      <c r="B858" s="220" t="s">
        <v>66</v>
      </c>
      <c r="C858" s="223" t="s">
        <v>67</v>
      </c>
      <c r="D858" s="210" t="s">
        <v>134</v>
      </c>
      <c r="E858" s="219"/>
      <c r="F858" s="219"/>
      <c r="G858" s="219"/>
      <c r="H858" s="219"/>
      <c r="I858" s="219"/>
      <c r="J858" s="219"/>
    </row>
    <row r="859" spans="1:10" ht="14.1" customHeight="1" x14ac:dyDescent="0.15">
      <c r="A859" s="221"/>
      <c r="B859" s="221"/>
      <c r="C859" s="221"/>
      <c r="D859" s="210" t="s">
        <v>132</v>
      </c>
      <c r="E859" s="212">
        <v>1</v>
      </c>
      <c r="F859" s="212">
        <v>10139</v>
      </c>
      <c r="G859" s="212">
        <v>10139</v>
      </c>
      <c r="H859" s="212">
        <v>0</v>
      </c>
      <c r="I859" s="212">
        <v>0</v>
      </c>
      <c r="J859" s="212">
        <v>10139</v>
      </c>
    </row>
    <row r="860" spans="1:10" ht="29.1" customHeight="1" x14ac:dyDescent="0.15">
      <c r="A860" s="221"/>
      <c r="B860" s="221"/>
      <c r="C860" s="209" t="s">
        <v>161</v>
      </c>
      <c r="D860" s="210" t="s">
        <v>133</v>
      </c>
      <c r="E860" s="212">
        <v>202</v>
      </c>
      <c r="F860" s="212">
        <v>10841</v>
      </c>
      <c r="G860" s="212">
        <v>2189882</v>
      </c>
      <c r="H860" s="212">
        <v>1627</v>
      </c>
      <c r="I860" s="212">
        <v>328654</v>
      </c>
      <c r="J860" s="212">
        <v>1861228</v>
      </c>
    </row>
    <row r="861" spans="1:10" ht="29.1" customHeight="1" x14ac:dyDescent="0.15">
      <c r="A861" s="221"/>
      <c r="B861" s="222" t="s">
        <v>167</v>
      </c>
      <c r="C861" s="223" t="s">
        <v>67</v>
      </c>
      <c r="D861" s="210" t="s">
        <v>85</v>
      </c>
      <c r="E861" s="212">
        <v>6</v>
      </c>
      <c r="F861" s="212">
        <v>26911</v>
      </c>
      <c r="G861" s="212">
        <v>161466</v>
      </c>
      <c r="H861" s="212">
        <v>0</v>
      </c>
      <c r="I861" s="212">
        <v>0</v>
      </c>
      <c r="J861" s="212">
        <v>161466</v>
      </c>
    </row>
    <row r="862" spans="1:10" ht="14.1" customHeight="1" x14ac:dyDescent="0.15">
      <c r="A862" s="221"/>
      <c r="B862" s="221"/>
      <c r="C862" s="221"/>
      <c r="D862" s="210" t="s">
        <v>141</v>
      </c>
      <c r="E862" s="212">
        <v>4</v>
      </c>
      <c r="F862" s="212">
        <v>13127</v>
      </c>
      <c r="G862" s="212">
        <v>52508</v>
      </c>
      <c r="H862" s="212">
        <v>0</v>
      </c>
      <c r="I862" s="212">
        <v>0</v>
      </c>
      <c r="J862" s="212">
        <v>52508</v>
      </c>
    </row>
    <row r="863" spans="1:10" ht="14.1" customHeight="1" x14ac:dyDescent="0.15">
      <c r="A863" s="221"/>
      <c r="B863" s="221"/>
      <c r="C863" s="221"/>
      <c r="D863" s="210" t="s">
        <v>78</v>
      </c>
      <c r="E863" s="212">
        <v>40</v>
      </c>
      <c r="F863" s="212">
        <v>13127</v>
      </c>
      <c r="G863" s="212">
        <v>525080</v>
      </c>
      <c r="H863" s="212">
        <v>0</v>
      </c>
      <c r="I863" s="212">
        <v>0</v>
      </c>
      <c r="J863" s="212">
        <v>525080</v>
      </c>
    </row>
    <row r="864" spans="1:10" ht="14.1" customHeight="1" x14ac:dyDescent="0.15">
      <c r="A864" s="221"/>
      <c r="B864" s="221"/>
      <c r="C864" s="221"/>
      <c r="D864" s="210" t="s">
        <v>77</v>
      </c>
      <c r="E864" s="212">
        <v>9</v>
      </c>
      <c r="F864" s="212">
        <v>6828</v>
      </c>
      <c r="G864" s="212">
        <v>61452</v>
      </c>
      <c r="H864" s="212">
        <v>0</v>
      </c>
      <c r="I864" s="212">
        <v>0</v>
      </c>
      <c r="J864" s="212">
        <v>61452</v>
      </c>
    </row>
    <row r="865" spans="1:10" ht="14.1" customHeight="1" x14ac:dyDescent="0.15">
      <c r="A865" s="221"/>
      <c r="B865" s="221"/>
      <c r="C865" s="221"/>
      <c r="D865" s="210" t="s">
        <v>142</v>
      </c>
      <c r="E865" s="212">
        <v>1</v>
      </c>
      <c r="F865" s="212">
        <v>4097</v>
      </c>
      <c r="G865" s="212">
        <v>4097</v>
      </c>
      <c r="H865" s="212">
        <v>0</v>
      </c>
      <c r="I865" s="212">
        <v>0</v>
      </c>
      <c r="J865" s="212">
        <v>4097</v>
      </c>
    </row>
    <row r="866" spans="1:10" ht="14.1" customHeight="1" x14ac:dyDescent="0.15">
      <c r="A866" s="221"/>
      <c r="B866" s="221"/>
      <c r="C866" s="221"/>
      <c r="D866" s="210" t="s">
        <v>137</v>
      </c>
      <c r="E866" s="212">
        <v>13</v>
      </c>
      <c r="F866" s="212">
        <v>4097</v>
      </c>
      <c r="G866" s="212">
        <v>53261</v>
      </c>
      <c r="H866" s="212">
        <v>0</v>
      </c>
      <c r="I866" s="212">
        <v>0</v>
      </c>
      <c r="J866" s="212">
        <v>53261</v>
      </c>
    </row>
    <row r="867" spans="1:10" ht="14.1" customHeight="1" x14ac:dyDescent="0.15">
      <c r="A867" s="221"/>
      <c r="B867" s="221"/>
      <c r="C867" s="221"/>
      <c r="D867" s="210" t="s">
        <v>143</v>
      </c>
      <c r="E867" s="212">
        <v>7</v>
      </c>
      <c r="F867" s="212">
        <v>5103</v>
      </c>
      <c r="G867" s="212">
        <v>35721</v>
      </c>
      <c r="H867" s="212">
        <v>0</v>
      </c>
      <c r="I867" s="212">
        <v>0</v>
      </c>
      <c r="J867" s="212">
        <v>35721</v>
      </c>
    </row>
    <row r="868" spans="1:10" ht="14.1" customHeight="1" x14ac:dyDescent="0.15">
      <c r="A868" s="221"/>
      <c r="B868" s="221"/>
      <c r="C868" s="221"/>
      <c r="D868" s="210" t="s">
        <v>138</v>
      </c>
      <c r="E868" s="212">
        <v>65</v>
      </c>
      <c r="F868" s="212">
        <v>5103</v>
      </c>
      <c r="G868" s="212">
        <v>331695</v>
      </c>
      <c r="H868" s="212">
        <v>0</v>
      </c>
      <c r="I868" s="212">
        <v>0</v>
      </c>
      <c r="J868" s="212">
        <v>331695</v>
      </c>
    </row>
    <row r="869" spans="1:10" ht="29.1" customHeight="1" x14ac:dyDescent="0.15">
      <c r="A869" s="221"/>
      <c r="B869" s="221"/>
      <c r="C869" s="222" t="s">
        <v>159</v>
      </c>
      <c r="D869" s="210" t="s">
        <v>79</v>
      </c>
      <c r="E869" s="212">
        <v>85</v>
      </c>
      <c r="F869" s="212">
        <v>28332</v>
      </c>
      <c r="G869" s="212">
        <v>2408220</v>
      </c>
      <c r="H869" s="212">
        <v>1421</v>
      </c>
      <c r="I869" s="212">
        <v>120785</v>
      </c>
      <c r="J869" s="212">
        <v>2287435</v>
      </c>
    </row>
    <row r="870" spans="1:10" ht="14.1" customHeight="1" x14ac:dyDescent="0.15">
      <c r="A870" s="221"/>
      <c r="B870" s="221"/>
      <c r="C870" s="221"/>
      <c r="D870" s="210" t="s">
        <v>73</v>
      </c>
      <c r="E870" s="212">
        <v>3</v>
      </c>
      <c r="F870" s="212">
        <v>14548</v>
      </c>
      <c r="G870" s="212">
        <v>43644</v>
      </c>
      <c r="H870" s="212">
        <v>1421</v>
      </c>
      <c r="I870" s="212">
        <v>4263</v>
      </c>
      <c r="J870" s="212">
        <v>39381</v>
      </c>
    </row>
    <row r="871" spans="1:10" ht="14.1" customHeight="1" x14ac:dyDescent="0.15">
      <c r="A871" s="221"/>
      <c r="B871" s="221"/>
      <c r="C871" s="221"/>
      <c r="D871" s="210" t="s">
        <v>71</v>
      </c>
      <c r="E871" s="212">
        <v>5</v>
      </c>
      <c r="F871" s="212">
        <v>8249</v>
      </c>
      <c r="G871" s="212">
        <v>41245</v>
      </c>
      <c r="H871" s="212">
        <v>1421</v>
      </c>
      <c r="I871" s="212">
        <v>7105</v>
      </c>
      <c r="J871" s="212">
        <v>34140</v>
      </c>
    </row>
    <row r="872" spans="1:10" ht="14.1" customHeight="1" x14ac:dyDescent="0.15">
      <c r="A872" s="221"/>
      <c r="B872" s="221"/>
      <c r="C872" s="221"/>
      <c r="D872" s="210" t="s">
        <v>75</v>
      </c>
      <c r="E872" s="212">
        <v>1</v>
      </c>
      <c r="F872" s="212">
        <v>2626</v>
      </c>
      <c r="G872" s="212">
        <v>2626</v>
      </c>
      <c r="H872" s="212">
        <v>1421</v>
      </c>
      <c r="I872" s="212">
        <v>1421</v>
      </c>
      <c r="J872" s="212">
        <v>1205</v>
      </c>
    </row>
    <row r="873" spans="1:10" ht="14.1" customHeight="1" x14ac:dyDescent="0.15">
      <c r="A873" s="221"/>
      <c r="B873" s="221"/>
      <c r="C873" s="221"/>
      <c r="D873" s="210" t="s">
        <v>139</v>
      </c>
      <c r="E873" s="212">
        <v>66</v>
      </c>
      <c r="F873" s="212">
        <v>5518</v>
      </c>
      <c r="G873" s="212">
        <v>364188</v>
      </c>
      <c r="H873" s="212">
        <v>1421</v>
      </c>
      <c r="I873" s="212">
        <v>93786</v>
      </c>
      <c r="J873" s="212">
        <v>270402</v>
      </c>
    </row>
    <row r="874" spans="1:10" ht="14.1" customHeight="1" x14ac:dyDescent="0.15">
      <c r="A874" s="221"/>
      <c r="B874" s="221"/>
      <c r="C874" s="221"/>
      <c r="D874" s="210" t="s">
        <v>140</v>
      </c>
      <c r="E874" s="212">
        <v>9</v>
      </c>
      <c r="F874" s="212">
        <v>6524</v>
      </c>
      <c r="G874" s="212">
        <v>58716</v>
      </c>
      <c r="H874" s="212">
        <v>1421</v>
      </c>
      <c r="I874" s="212">
        <v>12789</v>
      </c>
      <c r="J874" s="212">
        <v>45927</v>
      </c>
    </row>
    <row r="875" spans="1:10" ht="29.1" customHeight="1" x14ac:dyDescent="0.15">
      <c r="A875" s="221"/>
      <c r="B875" s="221"/>
      <c r="C875" s="209" t="s">
        <v>160</v>
      </c>
      <c r="D875" s="210" t="s">
        <v>139</v>
      </c>
      <c r="E875" s="212">
        <v>54</v>
      </c>
      <c r="F875" s="212">
        <v>5353</v>
      </c>
      <c r="G875" s="212">
        <v>289071</v>
      </c>
      <c r="H875" s="212">
        <v>1367</v>
      </c>
      <c r="I875" s="212">
        <v>73818</v>
      </c>
      <c r="J875" s="212">
        <v>215253</v>
      </c>
    </row>
    <row r="876" spans="1:10" ht="29.1" customHeight="1" x14ac:dyDescent="0.15">
      <c r="A876" s="221"/>
      <c r="B876" s="221"/>
      <c r="C876" s="222" t="s">
        <v>161</v>
      </c>
      <c r="D876" s="210" t="s">
        <v>101</v>
      </c>
      <c r="E876" s="212">
        <v>8</v>
      </c>
      <c r="F876" s="212">
        <v>45688</v>
      </c>
      <c r="G876" s="212">
        <v>365504</v>
      </c>
      <c r="H876" s="212">
        <v>702</v>
      </c>
      <c r="I876" s="212">
        <v>5616</v>
      </c>
      <c r="J876" s="212">
        <v>359888</v>
      </c>
    </row>
    <row r="877" spans="1:10" ht="14.1" customHeight="1" x14ac:dyDescent="0.15">
      <c r="A877" s="221"/>
      <c r="B877" s="221"/>
      <c r="C877" s="221"/>
      <c r="D877" s="210" t="s">
        <v>79</v>
      </c>
      <c r="E877" s="212">
        <v>745</v>
      </c>
      <c r="F877" s="212">
        <v>27613</v>
      </c>
      <c r="G877" s="212">
        <v>20571685</v>
      </c>
      <c r="H877" s="212">
        <v>702</v>
      </c>
      <c r="I877" s="212">
        <v>522990</v>
      </c>
      <c r="J877" s="212">
        <v>20048695</v>
      </c>
    </row>
    <row r="878" spans="1:10" ht="14.1" customHeight="1" x14ac:dyDescent="0.15">
      <c r="A878" s="221"/>
      <c r="B878" s="221"/>
      <c r="C878" s="221"/>
      <c r="D878" s="210" t="s">
        <v>73</v>
      </c>
      <c r="E878" s="212">
        <v>1144</v>
      </c>
      <c r="F878" s="212">
        <v>13829</v>
      </c>
      <c r="G878" s="212">
        <v>15820376</v>
      </c>
      <c r="H878" s="212">
        <v>702</v>
      </c>
      <c r="I878" s="212">
        <v>803088</v>
      </c>
      <c r="J878" s="212">
        <v>15017288</v>
      </c>
    </row>
    <row r="879" spans="1:10" ht="14.1" customHeight="1" x14ac:dyDescent="0.15">
      <c r="A879" s="221"/>
      <c r="B879" s="221"/>
      <c r="C879" s="221"/>
      <c r="D879" s="210" t="s">
        <v>74</v>
      </c>
      <c r="E879" s="212">
        <v>27</v>
      </c>
      <c r="F879" s="212">
        <v>10742</v>
      </c>
      <c r="G879" s="212">
        <v>290034</v>
      </c>
      <c r="H879" s="212">
        <v>702</v>
      </c>
      <c r="I879" s="212">
        <v>18954</v>
      </c>
      <c r="J879" s="212">
        <v>271080</v>
      </c>
    </row>
    <row r="880" spans="1:10" ht="14.1" customHeight="1" x14ac:dyDescent="0.15">
      <c r="A880" s="221"/>
      <c r="B880" s="221"/>
      <c r="C880" s="221"/>
      <c r="D880" s="210" t="s">
        <v>71</v>
      </c>
      <c r="E880" s="212">
        <v>216</v>
      </c>
      <c r="F880" s="212">
        <v>7530</v>
      </c>
      <c r="G880" s="212">
        <v>1626480</v>
      </c>
      <c r="H880" s="212">
        <v>702</v>
      </c>
      <c r="I880" s="212">
        <v>151632</v>
      </c>
      <c r="J880" s="212">
        <v>1474848</v>
      </c>
    </row>
    <row r="881" spans="1:10" ht="14.1" customHeight="1" x14ac:dyDescent="0.15">
      <c r="A881" s="221"/>
      <c r="B881" s="221"/>
      <c r="C881" s="221"/>
      <c r="D881" s="210" t="s">
        <v>72</v>
      </c>
      <c r="E881" s="212">
        <v>7</v>
      </c>
      <c r="F881" s="212">
        <v>4953</v>
      </c>
      <c r="G881" s="212">
        <v>34671</v>
      </c>
      <c r="H881" s="212">
        <v>702</v>
      </c>
      <c r="I881" s="212">
        <v>4914</v>
      </c>
      <c r="J881" s="212">
        <v>29757</v>
      </c>
    </row>
    <row r="882" spans="1:10" ht="14.1" customHeight="1" x14ac:dyDescent="0.15">
      <c r="A882" s="221"/>
      <c r="B882" s="221"/>
      <c r="C882" s="221"/>
      <c r="D882" s="210" t="s">
        <v>75</v>
      </c>
      <c r="E882" s="212">
        <v>6</v>
      </c>
      <c r="F882" s="212">
        <v>1907</v>
      </c>
      <c r="G882" s="212">
        <v>11442</v>
      </c>
      <c r="H882" s="212">
        <v>702</v>
      </c>
      <c r="I882" s="212">
        <v>4212</v>
      </c>
      <c r="J882" s="212">
        <v>7230</v>
      </c>
    </row>
    <row r="883" spans="1:10" ht="14.1" customHeight="1" x14ac:dyDescent="0.15">
      <c r="A883" s="221"/>
      <c r="B883" s="221"/>
      <c r="C883" s="221"/>
      <c r="D883" s="210" t="s">
        <v>69</v>
      </c>
      <c r="E883" s="212">
        <v>50</v>
      </c>
      <c r="F883" s="212">
        <v>24895</v>
      </c>
      <c r="G883" s="212">
        <v>1244750</v>
      </c>
      <c r="H883" s="212">
        <v>702</v>
      </c>
      <c r="I883" s="212">
        <v>35100</v>
      </c>
      <c r="J883" s="212">
        <v>1209650</v>
      </c>
    </row>
    <row r="884" spans="1:10" ht="14.1" customHeight="1" x14ac:dyDescent="0.15">
      <c r="A884" s="221"/>
      <c r="B884" s="221"/>
      <c r="C884" s="221"/>
      <c r="D884" s="210" t="s">
        <v>139</v>
      </c>
      <c r="E884" s="212">
        <v>655</v>
      </c>
      <c r="F884" s="212">
        <v>4799</v>
      </c>
      <c r="G884" s="212">
        <v>3143345</v>
      </c>
      <c r="H884" s="212">
        <v>702</v>
      </c>
      <c r="I884" s="212">
        <v>459810</v>
      </c>
      <c r="J884" s="212">
        <v>2683535</v>
      </c>
    </row>
    <row r="885" spans="1:10" ht="14.1" customHeight="1" x14ac:dyDescent="0.15">
      <c r="A885" s="221"/>
      <c r="B885" s="221"/>
      <c r="C885" s="221"/>
      <c r="D885" s="210" t="s">
        <v>140</v>
      </c>
      <c r="E885" s="212">
        <v>640</v>
      </c>
      <c r="F885" s="212">
        <v>5805</v>
      </c>
      <c r="G885" s="212">
        <v>3715200</v>
      </c>
      <c r="H885" s="212">
        <v>702</v>
      </c>
      <c r="I885" s="212">
        <v>449280</v>
      </c>
      <c r="J885" s="212">
        <v>3265920</v>
      </c>
    </row>
    <row r="886" spans="1:10" ht="14.1" customHeight="1" x14ac:dyDescent="0.15">
      <c r="A886" s="221"/>
      <c r="B886" s="220" t="s">
        <v>168</v>
      </c>
      <c r="C886" s="223" t="s">
        <v>67</v>
      </c>
      <c r="D886" s="210" t="s">
        <v>145</v>
      </c>
      <c r="E886" s="212">
        <v>2</v>
      </c>
      <c r="F886" s="212">
        <v>26911</v>
      </c>
      <c r="G886" s="212">
        <v>53822</v>
      </c>
      <c r="H886" s="212">
        <v>925</v>
      </c>
      <c r="I886" s="212">
        <v>1850</v>
      </c>
      <c r="J886" s="212">
        <v>51972</v>
      </c>
    </row>
    <row r="887" spans="1:10" ht="14.1" customHeight="1" x14ac:dyDescent="0.15">
      <c r="A887" s="221"/>
      <c r="B887" s="221"/>
      <c r="C887" s="221"/>
      <c r="D887" s="210" t="s">
        <v>85</v>
      </c>
      <c r="E887" s="212">
        <v>1</v>
      </c>
      <c r="F887" s="212">
        <v>26911</v>
      </c>
      <c r="G887" s="212">
        <v>26911</v>
      </c>
      <c r="H887" s="212">
        <v>925</v>
      </c>
      <c r="I887" s="212">
        <v>925</v>
      </c>
      <c r="J887" s="212">
        <v>25986</v>
      </c>
    </row>
    <row r="888" spans="1:10" ht="14.1" customHeight="1" x14ac:dyDescent="0.15">
      <c r="A888" s="221"/>
      <c r="B888" s="221"/>
      <c r="C888" s="221"/>
      <c r="D888" s="210" t="s">
        <v>78</v>
      </c>
      <c r="E888" s="212">
        <v>1</v>
      </c>
      <c r="F888" s="212">
        <v>13127</v>
      </c>
      <c r="G888" s="212">
        <v>13127</v>
      </c>
      <c r="H888" s="212">
        <v>925</v>
      </c>
      <c r="I888" s="212">
        <v>925</v>
      </c>
      <c r="J888" s="212">
        <v>12202</v>
      </c>
    </row>
    <row r="889" spans="1:10" ht="14.1" customHeight="1" x14ac:dyDescent="0.15">
      <c r="A889" s="221"/>
      <c r="B889" s="221"/>
      <c r="C889" s="221"/>
      <c r="D889" s="210" t="s">
        <v>136</v>
      </c>
      <c r="E889" s="212">
        <v>2</v>
      </c>
      <c r="F889" s="212">
        <v>6828</v>
      </c>
      <c r="G889" s="212">
        <v>13656</v>
      </c>
      <c r="H889" s="212">
        <v>925</v>
      </c>
      <c r="I889" s="212">
        <v>1850</v>
      </c>
      <c r="J889" s="212">
        <v>11806</v>
      </c>
    </row>
    <row r="890" spans="1:10" ht="29.1" customHeight="1" x14ac:dyDescent="0.15">
      <c r="A890" s="221"/>
      <c r="B890" s="221"/>
      <c r="C890" s="222" t="s">
        <v>161</v>
      </c>
      <c r="D890" s="210" t="s">
        <v>101</v>
      </c>
      <c r="E890" s="212">
        <v>1</v>
      </c>
      <c r="F890" s="212">
        <v>45688</v>
      </c>
      <c r="G890" s="212">
        <v>45688</v>
      </c>
      <c r="H890" s="212">
        <v>1627</v>
      </c>
      <c r="I890" s="212">
        <v>1627</v>
      </c>
      <c r="J890" s="212">
        <v>44061</v>
      </c>
    </row>
    <row r="891" spans="1:10" ht="14.1" customHeight="1" x14ac:dyDescent="0.15">
      <c r="A891" s="221"/>
      <c r="B891" s="221"/>
      <c r="C891" s="221"/>
      <c r="D891" s="210" t="s">
        <v>79</v>
      </c>
      <c r="E891" s="212">
        <v>59</v>
      </c>
      <c r="F891" s="212">
        <v>27613</v>
      </c>
      <c r="G891" s="212">
        <v>1629167</v>
      </c>
      <c r="H891" s="212">
        <v>1627</v>
      </c>
      <c r="I891" s="212">
        <v>95993</v>
      </c>
      <c r="J891" s="212">
        <v>1533174</v>
      </c>
    </row>
    <row r="892" spans="1:10" ht="14.1" customHeight="1" x14ac:dyDescent="0.15">
      <c r="A892" s="221"/>
      <c r="B892" s="221"/>
      <c r="C892" s="221"/>
      <c r="D892" s="210" t="s">
        <v>73</v>
      </c>
      <c r="E892" s="212">
        <v>67</v>
      </c>
      <c r="F892" s="212">
        <v>13829</v>
      </c>
      <c r="G892" s="212">
        <v>926543</v>
      </c>
      <c r="H892" s="212">
        <v>1627</v>
      </c>
      <c r="I892" s="212">
        <v>109009</v>
      </c>
      <c r="J892" s="212">
        <v>817534</v>
      </c>
    </row>
    <row r="893" spans="1:10" ht="14.1" customHeight="1" x14ac:dyDescent="0.15">
      <c r="A893" s="221"/>
      <c r="B893" s="221"/>
      <c r="C893" s="221"/>
      <c r="D893" s="210" t="s">
        <v>71</v>
      </c>
      <c r="E893" s="212">
        <v>60</v>
      </c>
      <c r="F893" s="212">
        <v>7530</v>
      </c>
      <c r="G893" s="212">
        <v>451800</v>
      </c>
      <c r="H893" s="212">
        <v>1627</v>
      </c>
      <c r="I893" s="212">
        <v>97620</v>
      </c>
      <c r="J893" s="212">
        <v>354180</v>
      </c>
    </row>
    <row r="894" spans="1:10" ht="14.1" customHeight="1" x14ac:dyDescent="0.15">
      <c r="A894" s="221"/>
      <c r="B894" s="221"/>
      <c r="C894" s="221"/>
      <c r="D894" s="210" t="s">
        <v>72</v>
      </c>
      <c r="E894" s="212">
        <v>9</v>
      </c>
      <c r="F894" s="212">
        <v>4953</v>
      </c>
      <c r="G894" s="212">
        <v>44577</v>
      </c>
      <c r="H894" s="212">
        <v>1627</v>
      </c>
      <c r="I894" s="212">
        <v>14643</v>
      </c>
      <c r="J894" s="212">
        <v>29934</v>
      </c>
    </row>
    <row r="895" spans="1:10" ht="14.1" customHeight="1" x14ac:dyDescent="0.15">
      <c r="A895" s="221"/>
      <c r="B895" s="221"/>
      <c r="C895" s="221"/>
      <c r="D895" s="210" t="s">
        <v>82</v>
      </c>
      <c r="E895" s="212">
        <v>13</v>
      </c>
      <c r="F895" s="212">
        <v>3112</v>
      </c>
      <c r="G895" s="212">
        <v>40456</v>
      </c>
      <c r="H895" s="212">
        <v>1627</v>
      </c>
      <c r="I895" s="212">
        <v>21151</v>
      </c>
      <c r="J895" s="212">
        <v>19305</v>
      </c>
    </row>
    <row r="896" spans="1:10" ht="14.1" customHeight="1" x14ac:dyDescent="0.15">
      <c r="A896" s="221"/>
      <c r="B896" s="221"/>
      <c r="C896" s="221"/>
      <c r="D896" s="210" t="s">
        <v>75</v>
      </c>
      <c r="E896" s="212">
        <v>33</v>
      </c>
      <c r="F896" s="212">
        <v>1907</v>
      </c>
      <c r="G896" s="212">
        <v>62931</v>
      </c>
      <c r="H896" s="212">
        <v>1627</v>
      </c>
      <c r="I896" s="212">
        <v>53691</v>
      </c>
      <c r="J896" s="212">
        <v>9240</v>
      </c>
    </row>
    <row r="897" spans="1:10" ht="14.1" customHeight="1" x14ac:dyDescent="0.15">
      <c r="A897" s="221" t="s">
        <v>50</v>
      </c>
      <c r="B897" s="221" t="s">
        <v>53</v>
      </c>
      <c r="C897" s="221"/>
      <c r="D897" s="221"/>
      <c r="E897" s="212">
        <v>19386</v>
      </c>
      <c r="F897" s="212">
        <v>769502</v>
      </c>
      <c r="G897" s="212">
        <v>235144174</v>
      </c>
      <c r="H897" s="212"/>
      <c r="I897" s="212">
        <v>28993341</v>
      </c>
      <c r="J897" s="212">
        <v>206150833</v>
      </c>
    </row>
    <row r="898" spans="1:10" ht="14.1" customHeight="1" x14ac:dyDescent="0.15">
      <c r="A898" s="221"/>
      <c r="B898" s="210" t="s">
        <v>63</v>
      </c>
      <c r="C898" s="210" t="s">
        <v>64</v>
      </c>
      <c r="D898" s="210" t="s">
        <v>65</v>
      </c>
      <c r="E898" s="218">
        <v>36</v>
      </c>
      <c r="F898" s="218">
        <v>10139</v>
      </c>
      <c r="G898" s="218">
        <v>365004</v>
      </c>
      <c r="H898" s="218">
        <v>0</v>
      </c>
      <c r="I898" s="218">
        <v>0</v>
      </c>
      <c r="J898" s="218">
        <v>365004</v>
      </c>
    </row>
    <row r="899" spans="1:10" ht="14.1" customHeight="1" x14ac:dyDescent="0.15">
      <c r="A899" s="221"/>
      <c r="B899" s="220" t="s">
        <v>66</v>
      </c>
      <c r="C899" s="223" t="s">
        <v>67</v>
      </c>
      <c r="D899" s="210" t="s">
        <v>134</v>
      </c>
      <c r="E899" s="219"/>
      <c r="F899" s="219"/>
      <c r="G899" s="219"/>
      <c r="H899" s="219"/>
      <c r="I899" s="219"/>
      <c r="J899" s="219"/>
    </row>
    <row r="900" spans="1:10" ht="14.1" customHeight="1" x14ac:dyDescent="0.15">
      <c r="A900" s="221"/>
      <c r="B900" s="221"/>
      <c r="C900" s="221"/>
      <c r="D900" s="210" t="s">
        <v>132</v>
      </c>
      <c r="E900" s="212">
        <v>342</v>
      </c>
      <c r="F900" s="212">
        <v>10139</v>
      </c>
      <c r="G900" s="212">
        <v>3467538</v>
      </c>
      <c r="H900" s="212">
        <v>0</v>
      </c>
      <c r="I900" s="212">
        <v>0</v>
      </c>
      <c r="J900" s="212">
        <v>3467538</v>
      </c>
    </row>
    <row r="901" spans="1:10" ht="29.1" customHeight="1" x14ac:dyDescent="0.15">
      <c r="A901" s="221"/>
      <c r="B901" s="221"/>
      <c r="C901" s="209" t="s">
        <v>159</v>
      </c>
      <c r="D901" s="210" t="s">
        <v>133</v>
      </c>
      <c r="E901" s="212">
        <v>11</v>
      </c>
      <c r="F901" s="212">
        <v>11560</v>
      </c>
      <c r="G901" s="212">
        <v>127160</v>
      </c>
      <c r="H901" s="212">
        <v>2346</v>
      </c>
      <c r="I901" s="212">
        <v>25806</v>
      </c>
      <c r="J901" s="212">
        <v>101354</v>
      </c>
    </row>
    <row r="902" spans="1:10" ht="29.1" customHeight="1" x14ac:dyDescent="0.15">
      <c r="A902" s="221"/>
      <c r="B902" s="221"/>
      <c r="C902" s="209" t="s">
        <v>161</v>
      </c>
      <c r="D902" s="210" t="s">
        <v>133</v>
      </c>
      <c r="E902" s="212">
        <v>2301</v>
      </c>
      <c r="F902" s="212">
        <v>10841</v>
      </c>
      <c r="G902" s="212">
        <v>24945141</v>
      </c>
      <c r="H902" s="212">
        <v>1627</v>
      </c>
      <c r="I902" s="212">
        <v>3743727</v>
      </c>
      <c r="J902" s="212">
        <v>21201414</v>
      </c>
    </row>
    <row r="903" spans="1:10" ht="29.1" customHeight="1" x14ac:dyDescent="0.15">
      <c r="A903" s="221"/>
      <c r="B903" s="222" t="s">
        <v>167</v>
      </c>
      <c r="C903" s="223" t="s">
        <v>67</v>
      </c>
      <c r="D903" s="210" t="s">
        <v>145</v>
      </c>
      <c r="E903" s="212">
        <v>2</v>
      </c>
      <c r="F903" s="212">
        <v>26911</v>
      </c>
      <c r="G903" s="212">
        <v>53822</v>
      </c>
      <c r="H903" s="212">
        <v>0</v>
      </c>
      <c r="I903" s="212">
        <v>0</v>
      </c>
      <c r="J903" s="212">
        <v>53822</v>
      </c>
    </row>
    <row r="904" spans="1:10" ht="14.1" customHeight="1" x14ac:dyDescent="0.15">
      <c r="A904" s="221"/>
      <c r="B904" s="221"/>
      <c r="C904" s="221"/>
      <c r="D904" s="210" t="s">
        <v>85</v>
      </c>
      <c r="E904" s="212">
        <v>5</v>
      </c>
      <c r="F904" s="212">
        <v>26911</v>
      </c>
      <c r="G904" s="212">
        <v>134555</v>
      </c>
      <c r="H904" s="212">
        <v>0</v>
      </c>
      <c r="I904" s="212">
        <v>0</v>
      </c>
      <c r="J904" s="212">
        <v>134555</v>
      </c>
    </row>
    <row r="905" spans="1:10" ht="14.1" customHeight="1" x14ac:dyDescent="0.15">
      <c r="A905" s="221"/>
      <c r="B905" s="221"/>
      <c r="C905" s="221"/>
      <c r="D905" s="210" t="s">
        <v>136</v>
      </c>
      <c r="E905" s="212">
        <v>1</v>
      </c>
      <c r="F905" s="212">
        <v>6828</v>
      </c>
      <c r="G905" s="212">
        <v>6828</v>
      </c>
      <c r="H905" s="212">
        <v>0</v>
      </c>
      <c r="I905" s="212">
        <v>0</v>
      </c>
      <c r="J905" s="212">
        <v>6828</v>
      </c>
    </row>
    <row r="906" spans="1:10" ht="14.1" customHeight="1" x14ac:dyDescent="0.15">
      <c r="A906" s="221"/>
      <c r="B906" s="221"/>
      <c r="C906" s="221"/>
      <c r="D906" s="210" t="s">
        <v>77</v>
      </c>
      <c r="E906" s="212">
        <v>4</v>
      </c>
      <c r="F906" s="212">
        <v>6828</v>
      </c>
      <c r="G906" s="212">
        <v>27312</v>
      </c>
      <c r="H906" s="212">
        <v>0</v>
      </c>
      <c r="I906" s="212">
        <v>0</v>
      </c>
      <c r="J906" s="212">
        <v>27312</v>
      </c>
    </row>
    <row r="907" spans="1:10" ht="14.1" customHeight="1" x14ac:dyDescent="0.15">
      <c r="A907" s="221"/>
      <c r="B907" s="221"/>
      <c r="C907" s="221"/>
      <c r="D907" s="210" t="s">
        <v>153</v>
      </c>
      <c r="E907" s="212">
        <v>5</v>
      </c>
      <c r="F907" s="212">
        <v>24193</v>
      </c>
      <c r="G907" s="212">
        <v>120965</v>
      </c>
      <c r="H907" s="212">
        <v>0</v>
      </c>
      <c r="I907" s="212">
        <v>0</v>
      </c>
      <c r="J907" s="212">
        <v>120965</v>
      </c>
    </row>
    <row r="908" spans="1:10" ht="14.1" customHeight="1" x14ac:dyDescent="0.15">
      <c r="A908" s="221"/>
      <c r="B908" s="221"/>
      <c r="C908" s="221"/>
      <c r="D908" s="210" t="s">
        <v>68</v>
      </c>
      <c r="E908" s="212">
        <v>1</v>
      </c>
      <c r="F908" s="212">
        <v>24193</v>
      </c>
      <c r="G908" s="212">
        <v>24193</v>
      </c>
      <c r="H908" s="212">
        <v>0</v>
      </c>
      <c r="I908" s="212">
        <v>0</v>
      </c>
      <c r="J908" s="212">
        <v>24193</v>
      </c>
    </row>
    <row r="909" spans="1:10" ht="14.1" customHeight="1" x14ac:dyDescent="0.15">
      <c r="A909" s="221"/>
      <c r="B909" s="221"/>
      <c r="C909" s="221"/>
      <c r="D909" s="210" t="s">
        <v>142</v>
      </c>
      <c r="E909" s="212">
        <v>2</v>
      </c>
      <c r="F909" s="212">
        <v>4097</v>
      </c>
      <c r="G909" s="212">
        <v>8194</v>
      </c>
      <c r="H909" s="212">
        <v>0</v>
      </c>
      <c r="I909" s="212">
        <v>0</v>
      </c>
      <c r="J909" s="212">
        <v>8194</v>
      </c>
    </row>
    <row r="910" spans="1:10" ht="14.1" customHeight="1" x14ac:dyDescent="0.15">
      <c r="A910" s="221"/>
      <c r="B910" s="221"/>
      <c r="C910" s="221"/>
      <c r="D910" s="210" t="s">
        <v>137</v>
      </c>
      <c r="E910" s="212">
        <v>57</v>
      </c>
      <c r="F910" s="212">
        <v>4097</v>
      </c>
      <c r="G910" s="212">
        <v>233529</v>
      </c>
      <c r="H910" s="212">
        <v>0</v>
      </c>
      <c r="I910" s="212">
        <v>0</v>
      </c>
      <c r="J910" s="212">
        <v>233529</v>
      </c>
    </row>
    <row r="911" spans="1:10" ht="14.1" customHeight="1" x14ac:dyDescent="0.15">
      <c r="A911" s="221"/>
      <c r="B911" s="221"/>
      <c r="C911" s="221"/>
      <c r="D911" s="210" t="s">
        <v>138</v>
      </c>
      <c r="E911" s="212">
        <v>37</v>
      </c>
      <c r="F911" s="212">
        <v>5103</v>
      </c>
      <c r="G911" s="212">
        <v>188811</v>
      </c>
      <c r="H911" s="212">
        <v>0</v>
      </c>
      <c r="I911" s="212">
        <v>0</v>
      </c>
      <c r="J911" s="212">
        <v>188811</v>
      </c>
    </row>
    <row r="912" spans="1:10" ht="29.1" customHeight="1" x14ac:dyDescent="0.15">
      <c r="A912" s="221"/>
      <c r="B912" s="221"/>
      <c r="C912" s="222" t="s">
        <v>159</v>
      </c>
      <c r="D912" s="210" t="s">
        <v>70</v>
      </c>
      <c r="E912" s="212">
        <v>12</v>
      </c>
      <c r="F912" s="212">
        <v>3986</v>
      </c>
      <c r="G912" s="212">
        <v>47832</v>
      </c>
      <c r="H912" s="212">
        <v>1421</v>
      </c>
      <c r="I912" s="212">
        <v>17052</v>
      </c>
      <c r="J912" s="212">
        <v>30780</v>
      </c>
    </row>
    <row r="913" spans="1:10" ht="14.1" customHeight="1" x14ac:dyDescent="0.15">
      <c r="A913" s="221"/>
      <c r="B913" s="221"/>
      <c r="C913" s="221"/>
      <c r="D913" s="210" t="s">
        <v>82</v>
      </c>
      <c r="E913" s="212">
        <v>1</v>
      </c>
      <c r="F913" s="212">
        <v>3831</v>
      </c>
      <c r="G913" s="212">
        <v>3831</v>
      </c>
      <c r="H913" s="212">
        <v>1421</v>
      </c>
      <c r="I913" s="212">
        <v>1421</v>
      </c>
      <c r="J913" s="212">
        <v>2410</v>
      </c>
    </row>
    <row r="914" spans="1:10" ht="14.1" customHeight="1" x14ac:dyDescent="0.15">
      <c r="A914" s="221"/>
      <c r="B914" s="221"/>
      <c r="C914" s="221"/>
      <c r="D914" s="210" t="s">
        <v>69</v>
      </c>
      <c r="E914" s="212">
        <v>4</v>
      </c>
      <c r="F914" s="212">
        <v>25614</v>
      </c>
      <c r="G914" s="212">
        <v>102456</v>
      </c>
      <c r="H914" s="212">
        <v>1421</v>
      </c>
      <c r="I914" s="212">
        <v>5684</v>
      </c>
      <c r="J914" s="212">
        <v>96772</v>
      </c>
    </row>
    <row r="915" spans="1:10" ht="29.1" customHeight="1" x14ac:dyDescent="0.15">
      <c r="A915" s="221"/>
      <c r="B915" s="221"/>
      <c r="C915" s="222" t="s">
        <v>161</v>
      </c>
      <c r="D915" s="210" t="s">
        <v>70</v>
      </c>
      <c r="E915" s="212">
        <v>273</v>
      </c>
      <c r="F915" s="212">
        <v>3267</v>
      </c>
      <c r="G915" s="212">
        <v>891891</v>
      </c>
      <c r="H915" s="212">
        <v>702</v>
      </c>
      <c r="I915" s="212">
        <v>191646</v>
      </c>
      <c r="J915" s="212">
        <v>700245</v>
      </c>
    </row>
    <row r="916" spans="1:10" ht="14.1" customHeight="1" x14ac:dyDescent="0.15">
      <c r="A916" s="221"/>
      <c r="B916" s="221"/>
      <c r="C916" s="221"/>
      <c r="D916" s="210" t="s">
        <v>79</v>
      </c>
      <c r="E916" s="212">
        <v>169</v>
      </c>
      <c r="F916" s="212">
        <v>27613</v>
      </c>
      <c r="G916" s="212">
        <v>4666597</v>
      </c>
      <c r="H916" s="212">
        <v>702</v>
      </c>
      <c r="I916" s="212">
        <v>118638</v>
      </c>
      <c r="J916" s="212">
        <v>4547959</v>
      </c>
    </row>
    <row r="917" spans="1:10" ht="14.1" customHeight="1" x14ac:dyDescent="0.15">
      <c r="A917" s="221"/>
      <c r="B917" s="221"/>
      <c r="C917" s="221"/>
      <c r="D917" s="210" t="s">
        <v>73</v>
      </c>
      <c r="E917" s="212">
        <v>44</v>
      </c>
      <c r="F917" s="212">
        <v>13829</v>
      </c>
      <c r="G917" s="212">
        <v>608476</v>
      </c>
      <c r="H917" s="212">
        <v>702</v>
      </c>
      <c r="I917" s="212">
        <v>30888</v>
      </c>
      <c r="J917" s="212">
        <v>577588</v>
      </c>
    </row>
    <row r="918" spans="1:10" ht="14.1" customHeight="1" x14ac:dyDescent="0.15">
      <c r="A918" s="221"/>
      <c r="B918" s="221"/>
      <c r="C918" s="221"/>
      <c r="D918" s="210" t="s">
        <v>74</v>
      </c>
      <c r="E918" s="212">
        <v>4</v>
      </c>
      <c r="F918" s="212">
        <v>10742</v>
      </c>
      <c r="G918" s="212">
        <v>42968</v>
      </c>
      <c r="H918" s="212">
        <v>702</v>
      </c>
      <c r="I918" s="212">
        <v>2808</v>
      </c>
      <c r="J918" s="212">
        <v>40160</v>
      </c>
    </row>
    <row r="919" spans="1:10" ht="14.1" customHeight="1" x14ac:dyDescent="0.15">
      <c r="A919" s="221"/>
      <c r="B919" s="221"/>
      <c r="C919" s="221"/>
      <c r="D919" s="210" t="s">
        <v>71</v>
      </c>
      <c r="E919" s="212">
        <v>85</v>
      </c>
      <c r="F919" s="212">
        <v>7530</v>
      </c>
      <c r="G919" s="212">
        <v>640050</v>
      </c>
      <c r="H919" s="212">
        <v>702</v>
      </c>
      <c r="I919" s="212">
        <v>59670</v>
      </c>
      <c r="J919" s="212">
        <v>580380</v>
      </c>
    </row>
    <row r="920" spans="1:10" ht="14.1" customHeight="1" x14ac:dyDescent="0.15">
      <c r="A920" s="221"/>
      <c r="B920" s="221"/>
      <c r="C920" s="221"/>
      <c r="D920" s="210" t="s">
        <v>72</v>
      </c>
      <c r="E920" s="212">
        <v>12</v>
      </c>
      <c r="F920" s="212">
        <v>4953</v>
      </c>
      <c r="G920" s="212">
        <v>59436</v>
      </c>
      <c r="H920" s="212">
        <v>702</v>
      </c>
      <c r="I920" s="212">
        <v>8424</v>
      </c>
      <c r="J920" s="212">
        <v>51012</v>
      </c>
    </row>
    <row r="921" spans="1:10" ht="14.1" customHeight="1" x14ac:dyDescent="0.15">
      <c r="A921" s="221"/>
      <c r="B921" s="221"/>
      <c r="C921" s="221"/>
      <c r="D921" s="210" t="s">
        <v>82</v>
      </c>
      <c r="E921" s="212">
        <v>275</v>
      </c>
      <c r="F921" s="212">
        <v>3112</v>
      </c>
      <c r="G921" s="212">
        <v>855800</v>
      </c>
      <c r="H921" s="212">
        <v>702</v>
      </c>
      <c r="I921" s="212">
        <v>193050</v>
      </c>
      <c r="J921" s="212">
        <v>662750</v>
      </c>
    </row>
    <row r="922" spans="1:10" ht="14.1" customHeight="1" x14ac:dyDescent="0.15">
      <c r="A922" s="221"/>
      <c r="B922" s="221"/>
      <c r="C922" s="221"/>
      <c r="D922" s="210" t="s">
        <v>75</v>
      </c>
      <c r="E922" s="212">
        <v>13</v>
      </c>
      <c r="F922" s="212">
        <v>1907</v>
      </c>
      <c r="G922" s="212">
        <v>24791</v>
      </c>
      <c r="H922" s="212">
        <v>702</v>
      </c>
      <c r="I922" s="212">
        <v>9126</v>
      </c>
      <c r="J922" s="212">
        <v>15665</v>
      </c>
    </row>
    <row r="923" spans="1:10" ht="14.1" customHeight="1" x14ac:dyDescent="0.15">
      <c r="A923" s="221"/>
      <c r="B923" s="221"/>
      <c r="C923" s="221"/>
      <c r="D923" s="210" t="s">
        <v>69</v>
      </c>
      <c r="E923" s="212">
        <v>99</v>
      </c>
      <c r="F923" s="212">
        <v>24895</v>
      </c>
      <c r="G923" s="212">
        <v>2464605</v>
      </c>
      <c r="H923" s="212">
        <v>702</v>
      </c>
      <c r="I923" s="212">
        <v>69498</v>
      </c>
      <c r="J923" s="212">
        <v>2395107</v>
      </c>
    </row>
    <row r="924" spans="1:10" ht="14.1" customHeight="1" x14ac:dyDescent="0.15">
      <c r="A924" s="221"/>
      <c r="B924" s="221"/>
      <c r="C924" s="221"/>
      <c r="D924" s="210" t="s">
        <v>139</v>
      </c>
      <c r="E924" s="212">
        <v>677</v>
      </c>
      <c r="F924" s="212">
        <v>4799</v>
      </c>
      <c r="G924" s="212">
        <v>3248923</v>
      </c>
      <c r="H924" s="212">
        <v>702</v>
      </c>
      <c r="I924" s="212">
        <v>475254</v>
      </c>
      <c r="J924" s="212">
        <v>2773669</v>
      </c>
    </row>
    <row r="925" spans="1:10" ht="14.1" customHeight="1" x14ac:dyDescent="0.15">
      <c r="A925" s="221"/>
      <c r="B925" s="221"/>
      <c r="C925" s="221"/>
      <c r="D925" s="210" t="s">
        <v>140</v>
      </c>
      <c r="E925" s="212">
        <v>108</v>
      </c>
      <c r="F925" s="212">
        <v>5805</v>
      </c>
      <c r="G925" s="212">
        <v>626940</v>
      </c>
      <c r="H925" s="212">
        <v>702</v>
      </c>
      <c r="I925" s="212">
        <v>75816</v>
      </c>
      <c r="J925" s="212">
        <v>551124</v>
      </c>
    </row>
    <row r="926" spans="1:10" ht="14.1" customHeight="1" x14ac:dyDescent="0.15">
      <c r="A926" s="221"/>
      <c r="B926" s="220" t="s">
        <v>168</v>
      </c>
      <c r="C926" s="223" t="s">
        <v>67</v>
      </c>
      <c r="D926" s="210" t="s">
        <v>144</v>
      </c>
      <c r="E926" s="212">
        <v>9</v>
      </c>
      <c r="F926" s="212">
        <v>44986</v>
      </c>
      <c r="G926" s="212">
        <v>404874</v>
      </c>
      <c r="H926" s="212">
        <v>925</v>
      </c>
      <c r="I926" s="212">
        <v>8325</v>
      </c>
      <c r="J926" s="212">
        <v>396549</v>
      </c>
    </row>
    <row r="927" spans="1:10" ht="14.1" customHeight="1" x14ac:dyDescent="0.15">
      <c r="A927" s="221"/>
      <c r="B927" s="221"/>
      <c r="C927" s="221"/>
      <c r="D927" s="210" t="s">
        <v>154</v>
      </c>
      <c r="E927" s="212">
        <v>2</v>
      </c>
      <c r="F927" s="212">
        <v>44986</v>
      </c>
      <c r="G927" s="212">
        <v>89972</v>
      </c>
      <c r="H927" s="212">
        <v>925</v>
      </c>
      <c r="I927" s="212">
        <v>1850</v>
      </c>
      <c r="J927" s="212">
        <v>88122</v>
      </c>
    </row>
    <row r="928" spans="1:10" ht="14.1" customHeight="1" x14ac:dyDescent="0.15">
      <c r="A928" s="221"/>
      <c r="B928" s="221"/>
      <c r="C928" s="221"/>
      <c r="D928" s="210" t="s">
        <v>145</v>
      </c>
      <c r="E928" s="212">
        <v>26</v>
      </c>
      <c r="F928" s="212">
        <v>26911</v>
      </c>
      <c r="G928" s="212">
        <v>699686</v>
      </c>
      <c r="H928" s="212">
        <v>925</v>
      </c>
      <c r="I928" s="212">
        <v>24050</v>
      </c>
      <c r="J928" s="212">
        <v>675636</v>
      </c>
    </row>
    <row r="929" spans="1:10" ht="14.1" customHeight="1" x14ac:dyDescent="0.15">
      <c r="A929" s="221"/>
      <c r="B929" s="221"/>
      <c r="C929" s="221"/>
      <c r="D929" s="210" t="s">
        <v>85</v>
      </c>
      <c r="E929" s="212">
        <v>27</v>
      </c>
      <c r="F929" s="212">
        <v>26911</v>
      </c>
      <c r="G929" s="212">
        <v>726597</v>
      </c>
      <c r="H929" s="212">
        <v>925</v>
      </c>
      <c r="I929" s="212">
        <v>24975</v>
      </c>
      <c r="J929" s="212">
        <v>701622</v>
      </c>
    </row>
    <row r="930" spans="1:10" ht="14.1" customHeight="1" x14ac:dyDescent="0.15">
      <c r="A930" s="221"/>
      <c r="B930" s="221"/>
      <c r="C930" s="221"/>
      <c r="D930" s="210" t="s">
        <v>141</v>
      </c>
      <c r="E930" s="212">
        <v>17</v>
      </c>
      <c r="F930" s="212">
        <v>13127</v>
      </c>
      <c r="G930" s="212">
        <v>223159</v>
      </c>
      <c r="H930" s="212">
        <v>925</v>
      </c>
      <c r="I930" s="212">
        <v>15725</v>
      </c>
      <c r="J930" s="212">
        <v>207434</v>
      </c>
    </row>
    <row r="931" spans="1:10" ht="14.1" customHeight="1" x14ac:dyDescent="0.15">
      <c r="A931" s="221"/>
      <c r="B931" s="221"/>
      <c r="C931" s="221"/>
      <c r="D931" s="210" t="s">
        <v>78</v>
      </c>
      <c r="E931" s="212">
        <v>3</v>
      </c>
      <c r="F931" s="212">
        <v>13127</v>
      </c>
      <c r="G931" s="212">
        <v>39381</v>
      </c>
      <c r="H931" s="212">
        <v>925</v>
      </c>
      <c r="I931" s="212">
        <v>2775</v>
      </c>
      <c r="J931" s="212">
        <v>36606</v>
      </c>
    </row>
    <row r="932" spans="1:10" ht="14.1" customHeight="1" x14ac:dyDescent="0.15">
      <c r="A932" s="221"/>
      <c r="B932" s="221"/>
      <c r="C932" s="221"/>
      <c r="D932" s="210" t="s">
        <v>146</v>
      </c>
      <c r="E932" s="212">
        <v>51</v>
      </c>
      <c r="F932" s="212">
        <v>10040</v>
      </c>
      <c r="G932" s="212">
        <v>512040</v>
      </c>
      <c r="H932" s="212">
        <v>925</v>
      </c>
      <c r="I932" s="212">
        <v>47175</v>
      </c>
      <c r="J932" s="212">
        <v>464865</v>
      </c>
    </row>
    <row r="933" spans="1:10" ht="14.1" customHeight="1" x14ac:dyDescent="0.15">
      <c r="A933" s="221"/>
      <c r="B933" s="221"/>
      <c r="C933" s="221"/>
      <c r="D933" s="210" t="s">
        <v>83</v>
      </c>
      <c r="E933" s="212">
        <v>8</v>
      </c>
      <c r="F933" s="212">
        <v>10040</v>
      </c>
      <c r="G933" s="212">
        <v>80320</v>
      </c>
      <c r="H933" s="212">
        <v>925</v>
      </c>
      <c r="I933" s="212">
        <v>7400</v>
      </c>
      <c r="J933" s="212">
        <v>72920</v>
      </c>
    </row>
    <row r="934" spans="1:10" ht="14.1" customHeight="1" x14ac:dyDescent="0.15">
      <c r="A934" s="221"/>
      <c r="B934" s="221"/>
      <c r="C934" s="221"/>
      <c r="D934" s="210" t="s">
        <v>136</v>
      </c>
      <c r="E934" s="212">
        <v>61</v>
      </c>
      <c r="F934" s="212">
        <v>6828</v>
      </c>
      <c r="G934" s="212">
        <v>416508</v>
      </c>
      <c r="H934" s="212">
        <v>925</v>
      </c>
      <c r="I934" s="212">
        <v>56425</v>
      </c>
      <c r="J934" s="212">
        <v>360083</v>
      </c>
    </row>
    <row r="935" spans="1:10" ht="14.1" customHeight="1" x14ac:dyDescent="0.15">
      <c r="A935" s="221"/>
      <c r="B935" s="221"/>
      <c r="C935" s="221"/>
      <c r="D935" s="210" t="s">
        <v>77</v>
      </c>
      <c r="E935" s="212">
        <v>105</v>
      </c>
      <c r="F935" s="212">
        <v>6828</v>
      </c>
      <c r="G935" s="212">
        <v>716940</v>
      </c>
      <c r="H935" s="212">
        <v>925</v>
      </c>
      <c r="I935" s="212">
        <v>97125</v>
      </c>
      <c r="J935" s="212">
        <v>619815</v>
      </c>
    </row>
    <row r="936" spans="1:10" ht="14.1" customHeight="1" x14ac:dyDescent="0.15">
      <c r="A936" s="221"/>
      <c r="B936" s="221"/>
      <c r="C936" s="221"/>
      <c r="D936" s="210" t="s">
        <v>149</v>
      </c>
      <c r="E936" s="212">
        <v>4</v>
      </c>
      <c r="F936" s="212">
        <v>4251</v>
      </c>
      <c r="G936" s="212">
        <v>17004</v>
      </c>
      <c r="H936" s="212">
        <v>925</v>
      </c>
      <c r="I936" s="212">
        <v>3700</v>
      </c>
      <c r="J936" s="212">
        <v>13304</v>
      </c>
    </row>
    <row r="937" spans="1:10" ht="14.1" customHeight="1" x14ac:dyDescent="0.15">
      <c r="A937" s="221"/>
      <c r="B937" s="221"/>
      <c r="C937" s="221"/>
      <c r="D937" s="210" t="s">
        <v>86</v>
      </c>
      <c r="E937" s="212">
        <v>4</v>
      </c>
      <c r="F937" s="212">
        <v>4251</v>
      </c>
      <c r="G937" s="212">
        <v>17004</v>
      </c>
      <c r="H937" s="212">
        <v>925</v>
      </c>
      <c r="I937" s="212">
        <v>3700</v>
      </c>
      <c r="J937" s="212">
        <v>13304</v>
      </c>
    </row>
    <row r="938" spans="1:10" ht="14.1" customHeight="1" x14ac:dyDescent="0.15">
      <c r="A938" s="221"/>
      <c r="B938" s="221"/>
      <c r="C938" s="221"/>
      <c r="D938" s="210" t="s">
        <v>84</v>
      </c>
      <c r="E938" s="212">
        <v>12</v>
      </c>
      <c r="F938" s="212">
        <v>2410</v>
      </c>
      <c r="G938" s="212">
        <v>28920</v>
      </c>
      <c r="H938" s="212">
        <v>925</v>
      </c>
      <c r="I938" s="212">
        <v>11100</v>
      </c>
      <c r="J938" s="212">
        <v>17820</v>
      </c>
    </row>
    <row r="939" spans="1:10" ht="14.1" customHeight="1" x14ac:dyDescent="0.15">
      <c r="A939" s="221"/>
      <c r="B939" s="221"/>
      <c r="C939" s="221"/>
      <c r="D939" s="210" t="s">
        <v>89</v>
      </c>
      <c r="E939" s="212">
        <v>1</v>
      </c>
      <c r="F939" s="212">
        <v>1205</v>
      </c>
      <c r="G939" s="212">
        <v>1205</v>
      </c>
      <c r="H939" s="212">
        <v>925</v>
      </c>
      <c r="I939" s="212">
        <v>925</v>
      </c>
      <c r="J939" s="212">
        <v>280</v>
      </c>
    </row>
    <row r="940" spans="1:10" ht="29.1" customHeight="1" x14ac:dyDescent="0.15">
      <c r="A940" s="221"/>
      <c r="B940" s="221"/>
      <c r="C940" s="222" t="s">
        <v>159</v>
      </c>
      <c r="D940" s="210" t="s">
        <v>79</v>
      </c>
      <c r="E940" s="212">
        <v>6</v>
      </c>
      <c r="F940" s="212">
        <v>28332</v>
      </c>
      <c r="G940" s="212">
        <v>169992</v>
      </c>
      <c r="H940" s="212">
        <v>2346</v>
      </c>
      <c r="I940" s="212">
        <v>14076</v>
      </c>
      <c r="J940" s="212">
        <v>155916</v>
      </c>
    </row>
    <row r="941" spans="1:10" ht="14.1" customHeight="1" x14ac:dyDescent="0.15">
      <c r="A941" s="221"/>
      <c r="B941" s="221"/>
      <c r="C941" s="221"/>
      <c r="D941" s="210" t="s">
        <v>73</v>
      </c>
      <c r="E941" s="212">
        <v>2</v>
      </c>
      <c r="F941" s="212">
        <v>14548</v>
      </c>
      <c r="G941" s="212">
        <v>29096</v>
      </c>
      <c r="H941" s="212">
        <v>2346</v>
      </c>
      <c r="I941" s="212">
        <v>4692</v>
      </c>
      <c r="J941" s="212">
        <v>24404</v>
      </c>
    </row>
    <row r="942" spans="1:10" ht="14.1" customHeight="1" x14ac:dyDescent="0.15">
      <c r="A942" s="221"/>
      <c r="B942" s="221"/>
      <c r="C942" s="221"/>
      <c r="D942" s="210" t="s">
        <v>74</v>
      </c>
      <c r="E942" s="212">
        <v>4</v>
      </c>
      <c r="F942" s="212">
        <v>11461</v>
      </c>
      <c r="G942" s="212">
        <v>45844</v>
      </c>
      <c r="H942" s="212">
        <v>2346</v>
      </c>
      <c r="I942" s="212">
        <v>9384</v>
      </c>
      <c r="J942" s="212">
        <v>36460</v>
      </c>
    </row>
    <row r="943" spans="1:10" ht="14.1" customHeight="1" x14ac:dyDescent="0.15">
      <c r="A943" s="221"/>
      <c r="B943" s="221"/>
      <c r="C943" s="221"/>
      <c r="D943" s="210" t="s">
        <v>71</v>
      </c>
      <c r="E943" s="212">
        <v>137</v>
      </c>
      <c r="F943" s="212">
        <v>8249</v>
      </c>
      <c r="G943" s="212">
        <v>1130113</v>
      </c>
      <c r="H943" s="212">
        <v>2346</v>
      </c>
      <c r="I943" s="212">
        <v>321402</v>
      </c>
      <c r="J943" s="212">
        <v>808711</v>
      </c>
    </row>
    <row r="944" spans="1:10" ht="29.1" customHeight="1" x14ac:dyDescent="0.15">
      <c r="A944" s="221"/>
      <c r="B944" s="221"/>
      <c r="C944" s="222" t="s">
        <v>161</v>
      </c>
      <c r="D944" s="210" t="s">
        <v>88</v>
      </c>
      <c r="E944" s="212">
        <v>3</v>
      </c>
      <c r="F944" s="212">
        <v>61914</v>
      </c>
      <c r="G944" s="212">
        <v>185742</v>
      </c>
      <c r="H944" s="212">
        <v>1627</v>
      </c>
      <c r="I944" s="212">
        <v>4881</v>
      </c>
      <c r="J944" s="212">
        <v>180861</v>
      </c>
    </row>
    <row r="945" spans="1:10" ht="14.1" customHeight="1" x14ac:dyDescent="0.15">
      <c r="A945" s="221"/>
      <c r="B945" s="221"/>
      <c r="C945" s="221"/>
      <c r="D945" s="210" t="s">
        <v>101</v>
      </c>
      <c r="E945" s="212">
        <v>560</v>
      </c>
      <c r="F945" s="212">
        <v>45688</v>
      </c>
      <c r="G945" s="212">
        <v>25585280</v>
      </c>
      <c r="H945" s="212">
        <v>1627</v>
      </c>
      <c r="I945" s="212">
        <v>911120</v>
      </c>
      <c r="J945" s="212">
        <v>24674160</v>
      </c>
    </row>
    <row r="946" spans="1:10" ht="14.1" customHeight="1" x14ac:dyDescent="0.15">
      <c r="A946" s="221"/>
      <c r="B946" s="221"/>
      <c r="C946" s="221"/>
      <c r="D946" s="210" t="s">
        <v>79</v>
      </c>
      <c r="E946" s="212">
        <v>1608</v>
      </c>
      <c r="F946" s="212">
        <v>27613</v>
      </c>
      <c r="G946" s="212">
        <v>44401704</v>
      </c>
      <c r="H946" s="212">
        <v>1627</v>
      </c>
      <c r="I946" s="212">
        <v>2616216</v>
      </c>
      <c r="J946" s="212">
        <v>41785488</v>
      </c>
    </row>
    <row r="947" spans="1:10" ht="14.1" customHeight="1" x14ac:dyDescent="0.15">
      <c r="A947" s="221"/>
      <c r="B947" s="221"/>
      <c r="C947" s="221"/>
      <c r="D947" s="210" t="s">
        <v>73</v>
      </c>
      <c r="E947" s="212">
        <v>2318</v>
      </c>
      <c r="F947" s="212">
        <v>13829</v>
      </c>
      <c r="G947" s="212">
        <v>32055622</v>
      </c>
      <c r="H947" s="212">
        <v>1627</v>
      </c>
      <c r="I947" s="212">
        <v>3771386</v>
      </c>
      <c r="J947" s="212">
        <v>28284236</v>
      </c>
    </row>
    <row r="948" spans="1:10" ht="14.1" customHeight="1" x14ac:dyDescent="0.15">
      <c r="A948" s="221"/>
      <c r="B948" s="221"/>
      <c r="C948" s="221"/>
      <c r="D948" s="210" t="s">
        <v>74</v>
      </c>
      <c r="E948" s="212">
        <v>3531</v>
      </c>
      <c r="F948" s="212">
        <v>10742</v>
      </c>
      <c r="G948" s="212">
        <v>37930002</v>
      </c>
      <c r="H948" s="212">
        <v>1627</v>
      </c>
      <c r="I948" s="212">
        <v>5744937</v>
      </c>
      <c r="J948" s="212">
        <v>32185065</v>
      </c>
    </row>
    <row r="949" spans="1:10" ht="14.1" customHeight="1" x14ac:dyDescent="0.15">
      <c r="A949" s="221"/>
      <c r="B949" s="221"/>
      <c r="C949" s="221"/>
      <c r="D949" s="210" t="s">
        <v>71</v>
      </c>
      <c r="E949" s="212">
        <v>5854</v>
      </c>
      <c r="F949" s="212">
        <v>7530</v>
      </c>
      <c r="G949" s="212">
        <v>44080620</v>
      </c>
      <c r="H949" s="212">
        <v>1627</v>
      </c>
      <c r="I949" s="212">
        <v>9524458</v>
      </c>
      <c r="J949" s="212">
        <v>34556162</v>
      </c>
    </row>
    <row r="950" spans="1:10" ht="14.1" customHeight="1" x14ac:dyDescent="0.15">
      <c r="A950" s="221"/>
      <c r="B950" s="221"/>
      <c r="C950" s="221"/>
      <c r="D950" s="210" t="s">
        <v>72</v>
      </c>
      <c r="E950" s="212">
        <v>165</v>
      </c>
      <c r="F950" s="212">
        <v>4953</v>
      </c>
      <c r="G950" s="212">
        <v>817245</v>
      </c>
      <c r="H950" s="212">
        <v>1627</v>
      </c>
      <c r="I950" s="212">
        <v>268455</v>
      </c>
      <c r="J950" s="212">
        <v>548790</v>
      </c>
    </row>
    <row r="951" spans="1:10" ht="14.1" customHeight="1" x14ac:dyDescent="0.15">
      <c r="A951" s="221"/>
      <c r="B951" s="221"/>
      <c r="C951" s="221"/>
      <c r="D951" s="210" t="s">
        <v>82</v>
      </c>
      <c r="E951" s="212">
        <v>168</v>
      </c>
      <c r="F951" s="212">
        <v>3112</v>
      </c>
      <c r="G951" s="212">
        <v>522816</v>
      </c>
      <c r="H951" s="212">
        <v>1627</v>
      </c>
      <c r="I951" s="212">
        <v>273336</v>
      </c>
      <c r="J951" s="212">
        <v>249480</v>
      </c>
    </row>
    <row r="952" spans="1:10" ht="14.1" customHeight="1" x14ac:dyDescent="0.15">
      <c r="A952" s="221"/>
      <c r="B952" s="221"/>
      <c r="C952" s="221"/>
      <c r="D952" s="210" t="s">
        <v>75</v>
      </c>
      <c r="E952" s="212">
        <v>120</v>
      </c>
      <c r="F952" s="212">
        <v>1907</v>
      </c>
      <c r="G952" s="212">
        <v>228840</v>
      </c>
      <c r="H952" s="212">
        <v>1627</v>
      </c>
      <c r="I952" s="212">
        <v>195240</v>
      </c>
      <c r="J952" s="212">
        <v>33600</v>
      </c>
    </row>
    <row r="953" spans="1:10" ht="29.1" customHeight="1" x14ac:dyDescent="0.15">
      <c r="A953" s="222" t="s">
        <v>118</v>
      </c>
      <c r="B953" s="221" t="s">
        <v>53</v>
      </c>
      <c r="C953" s="221"/>
      <c r="D953" s="221"/>
      <c r="E953" s="212">
        <v>1331</v>
      </c>
      <c r="F953" s="212">
        <v>283172</v>
      </c>
      <c r="G953" s="212">
        <v>18210675</v>
      </c>
      <c r="H953" s="212"/>
      <c r="I953" s="212">
        <v>1388478</v>
      </c>
      <c r="J953" s="212">
        <v>16822197</v>
      </c>
    </row>
    <row r="954" spans="1:10" ht="14.1" customHeight="1" x14ac:dyDescent="0.15">
      <c r="A954" s="221"/>
      <c r="B954" s="210" t="s">
        <v>63</v>
      </c>
      <c r="C954" s="210" t="s">
        <v>64</v>
      </c>
      <c r="D954" s="210" t="s">
        <v>65</v>
      </c>
      <c r="E954" s="218">
        <v>8</v>
      </c>
      <c r="F954" s="218">
        <v>10841</v>
      </c>
      <c r="G954" s="218">
        <v>86728</v>
      </c>
      <c r="H954" s="218">
        <v>1627</v>
      </c>
      <c r="I954" s="218">
        <v>13016</v>
      </c>
      <c r="J954" s="218">
        <v>73712</v>
      </c>
    </row>
    <row r="955" spans="1:10" ht="29.1" customHeight="1" x14ac:dyDescent="0.15">
      <c r="A955" s="221"/>
      <c r="B955" s="213" t="s">
        <v>66</v>
      </c>
      <c r="C955" s="209" t="s">
        <v>161</v>
      </c>
      <c r="D955" s="210" t="s">
        <v>133</v>
      </c>
      <c r="E955" s="219"/>
      <c r="F955" s="219"/>
      <c r="G955" s="219"/>
      <c r="H955" s="219"/>
      <c r="I955" s="219"/>
      <c r="J955" s="219"/>
    </row>
    <row r="956" spans="1:10" ht="29.1" customHeight="1" x14ac:dyDescent="0.15">
      <c r="A956" s="221"/>
      <c r="B956" s="222" t="s">
        <v>167</v>
      </c>
      <c r="C956" s="223" t="s">
        <v>67</v>
      </c>
      <c r="D956" s="210" t="s">
        <v>141</v>
      </c>
      <c r="E956" s="212">
        <v>1</v>
      </c>
      <c r="F956" s="212">
        <v>13127</v>
      </c>
      <c r="G956" s="212">
        <v>13127</v>
      </c>
      <c r="H956" s="212">
        <v>0</v>
      </c>
      <c r="I956" s="212">
        <v>0</v>
      </c>
      <c r="J956" s="212">
        <v>13127</v>
      </c>
    </row>
    <row r="957" spans="1:10" ht="14.1" customHeight="1" x14ac:dyDescent="0.15">
      <c r="A957" s="221"/>
      <c r="B957" s="221"/>
      <c r="C957" s="221"/>
      <c r="D957" s="210" t="s">
        <v>78</v>
      </c>
      <c r="E957" s="212">
        <v>17</v>
      </c>
      <c r="F957" s="212">
        <v>13127</v>
      </c>
      <c r="G957" s="212">
        <v>223159</v>
      </c>
      <c r="H957" s="212">
        <v>0</v>
      </c>
      <c r="I957" s="212">
        <v>0</v>
      </c>
      <c r="J957" s="212">
        <v>223159</v>
      </c>
    </row>
    <row r="958" spans="1:10" ht="14.1" customHeight="1" x14ac:dyDescent="0.15">
      <c r="A958" s="221"/>
      <c r="B958" s="221"/>
      <c r="C958" s="221"/>
      <c r="D958" s="210" t="s">
        <v>142</v>
      </c>
      <c r="E958" s="212">
        <v>2</v>
      </c>
      <c r="F958" s="212">
        <v>4097</v>
      </c>
      <c r="G958" s="212">
        <v>8194</v>
      </c>
      <c r="H958" s="212">
        <v>0</v>
      </c>
      <c r="I958" s="212">
        <v>0</v>
      </c>
      <c r="J958" s="212">
        <v>8194</v>
      </c>
    </row>
    <row r="959" spans="1:10" ht="29.1" customHeight="1" x14ac:dyDescent="0.15">
      <c r="A959" s="221"/>
      <c r="B959" s="221"/>
      <c r="C959" s="222" t="s">
        <v>159</v>
      </c>
      <c r="D959" s="210" t="s">
        <v>79</v>
      </c>
      <c r="E959" s="212">
        <v>22</v>
      </c>
      <c r="F959" s="212">
        <v>28332</v>
      </c>
      <c r="G959" s="212">
        <v>623304</v>
      </c>
      <c r="H959" s="212">
        <v>1421</v>
      </c>
      <c r="I959" s="212">
        <v>31262</v>
      </c>
      <c r="J959" s="212">
        <v>592042</v>
      </c>
    </row>
    <row r="960" spans="1:10" ht="14.1" customHeight="1" x14ac:dyDescent="0.15">
      <c r="A960" s="221"/>
      <c r="B960" s="221"/>
      <c r="C960" s="221"/>
      <c r="D960" s="210" t="s">
        <v>71</v>
      </c>
      <c r="E960" s="212">
        <v>6</v>
      </c>
      <c r="F960" s="212">
        <v>8249</v>
      </c>
      <c r="G960" s="212">
        <v>49494</v>
      </c>
      <c r="H960" s="212">
        <v>1421</v>
      </c>
      <c r="I960" s="212">
        <v>8526</v>
      </c>
      <c r="J960" s="212">
        <v>40968</v>
      </c>
    </row>
    <row r="961" spans="1:10" ht="29.1" customHeight="1" x14ac:dyDescent="0.15">
      <c r="A961" s="221"/>
      <c r="B961" s="221"/>
      <c r="C961" s="222" t="s">
        <v>161</v>
      </c>
      <c r="D961" s="210" t="s">
        <v>101</v>
      </c>
      <c r="E961" s="212">
        <v>3</v>
      </c>
      <c r="F961" s="212">
        <v>45688</v>
      </c>
      <c r="G961" s="212">
        <v>137064</v>
      </c>
      <c r="H961" s="212">
        <v>702</v>
      </c>
      <c r="I961" s="212">
        <v>2106</v>
      </c>
      <c r="J961" s="212">
        <v>134958</v>
      </c>
    </row>
    <row r="962" spans="1:10" ht="14.1" customHeight="1" x14ac:dyDescent="0.15">
      <c r="A962" s="221"/>
      <c r="B962" s="221"/>
      <c r="C962" s="221"/>
      <c r="D962" s="210" t="s">
        <v>79</v>
      </c>
      <c r="E962" s="212">
        <v>105</v>
      </c>
      <c r="F962" s="212">
        <v>27613</v>
      </c>
      <c r="G962" s="212">
        <v>2899365</v>
      </c>
      <c r="H962" s="212">
        <v>702</v>
      </c>
      <c r="I962" s="212">
        <v>73710</v>
      </c>
      <c r="J962" s="212">
        <v>2825655</v>
      </c>
    </row>
    <row r="963" spans="1:10" ht="14.1" customHeight="1" x14ac:dyDescent="0.15">
      <c r="A963" s="221"/>
      <c r="B963" s="221"/>
      <c r="C963" s="221"/>
      <c r="D963" s="210" t="s">
        <v>73</v>
      </c>
      <c r="E963" s="212">
        <v>520</v>
      </c>
      <c r="F963" s="212">
        <v>13829</v>
      </c>
      <c r="G963" s="212">
        <v>7191080</v>
      </c>
      <c r="H963" s="212">
        <v>702</v>
      </c>
      <c r="I963" s="212">
        <v>365040</v>
      </c>
      <c r="J963" s="212">
        <v>6826040</v>
      </c>
    </row>
    <row r="964" spans="1:10" ht="14.1" customHeight="1" x14ac:dyDescent="0.15">
      <c r="A964" s="221"/>
      <c r="B964" s="221"/>
      <c r="C964" s="221"/>
      <c r="D964" s="210" t="s">
        <v>74</v>
      </c>
      <c r="E964" s="212">
        <v>15</v>
      </c>
      <c r="F964" s="212">
        <v>10742</v>
      </c>
      <c r="G964" s="212">
        <v>161130</v>
      </c>
      <c r="H964" s="212">
        <v>702</v>
      </c>
      <c r="I964" s="212">
        <v>10530</v>
      </c>
      <c r="J964" s="212">
        <v>150600</v>
      </c>
    </row>
    <row r="965" spans="1:10" ht="14.1" customHeight="1" x14ac:dyDescent="0.15">
      <c r="A965" s="221"/>
      <c r="B965" s="221"/>
      <c r="C965" s="221"/>
      <c r="D965" s="210" t="s">
        <v>71</v>
      </c>
      <c r="E965" s="212">
        <v>102</v>
      </c>
      <c r="F965" s="212">
        <v>7530</v>
      </c>
      <c r="G965" s="212">
        <v>768060</v>
      </c>
      <c r="H965" s="212">
        <v>702</v>
      </c>
      <c r="I965" s="212">
        <v>71604</v>
      </c>
      <c r="J965" s="212">
        <v>696456</v>
      </c>
    </row>
    <row r="966" spans="1:10" ht="14.1" customHeight="1" x14ac:dyDescent="0.15">
      <c r="A966" s="221"/>
      <c r="B966" s="221"/>
      <c r="C966" s="221"/>
      <c r="D966" s="210" t="s">
        <v>69</v>
      </c>
      <c r="E966" s="212">
        <v>54</v>
      </c>
      <c r="F966" s="212">
        <v>24895</v>
      </c>
      <c r="G966" s="212">
        <v>1344330</v>
      </c>
      <c r="H966" s="212">
        <v>702</v>
      </c>
      <c r="I966" s="212">
        <v>37908</v>
      </c>
      <c r="J966" s="212">
        <v>1306422</v>
      </c>
    </row>
    <row r="967" spans="1:10" ht="14.1" customHeight="1" x14ac:dyDescent="0.15">
      <c r="A967" s="221"/>
      <c r="B967" s="221"/>
      <c r="C967" s="221"/>
      <c r="D967" s="210" t="s">
        <v>139</v>
      </c>
      <c r="E967" s="212">
        <v>2</v>
      </c>
      <c r="F967" s="212">
        <v>4799</v>
      </c>
      <c r="G967" s="212">
        <v>9598</v>
      </c>
      <c r="H967" s="212">
        <v>702</v>
      </c>
      <c r="I967" s="212">
        <v>1404</v>
      </c>
      <c r="J967" s="212">
        <v>8194</v>
      </c>
    </row>
    <row r="968" spans="1:10" ht="14.1" customHeight="1" x14ac:dyDescent="0.15">
      <c r="A968" s="221"/>
      <c r="B968" s="220" t="s">
        <v>168</v>
      </c>
      <c r="C968" s="211" t="s">
        <v>67</v>
      </c>
      <c r="D968" s="210" t="s">
        <v>85</v>
      </c>
      <c r="E968" s="212">
        <v>1</v>
      </c>
      <c r="F968" s="212">
        <v>26911</v>
      </c>
      <c r="G968" s="212">
        <v>26911</v>
      </c>
      <c r="H968" s="212">
        <v>925</v>
      </c>
      <c r="I968" s="212">
        <v>925</v>
      </c>
      <c r="J968" s="212">
        <v>25986</v>
      </c>
    </row>
    <row r="969" spans="1:10" ht="29.1" customHeight="1" x14ac:dyDescent="0.15">
      <c r="A969" s="221"/>
      <c r="B969" s="221"/>
      <c r="C969" s="209" t="s">
        <v>159</v>
      </c>
      <c r="D969" s="210" t="s">
        <v>71</v>
      </c>
      <c r="E969" s="212">
        <v>4</v>
      </c>
      <c r="F969" s="212">
        <v>8249</v>
      </c>
      <c r="G969" s="212">
        <v>32996</v>
      </c>
      <c r="H969" s="212">
        <v>2346</v>
      </c>
      <c r="I969" s="212">
        <v>9384</v>
      </c>
      <c r="J969" s="212">
        <v>23612</v>
      </c>
    </row>
    <row r="970" spans="1:10" ht="29.1" customHeight="1" x14ac:dyDescent="0.15">
      <c r="A970" s="221"/>
      <c r="B970" s="221"/>
      <c r="C970" s="222" t="s">
        <v>161</v>
      </c>
      <c r="D970" s="210" t="s">
        <v>79</v>
      </c>
      <c r="E970" s="212">
        <v>55</v>
      </c>
      <c r="F970" s="212">
        <v>27613</v>
      </c>
      <c r="G970" s="212">
        <v>1518715</v>
      </c>
      <c r="H970" s="212">
        <v>1627</v>
      </c>
      <c r="I970" s="212">
        <v>89485</v>
      </c>
      <c r="J970" s="212">
        <v>1429230</v>
      </c>
    </row>
    <row r="971" spans="1:10" ht="14.1" customHeight="1" x14ac:dyDescent="0.15">
      <c r="A971" s="221"/>
      <c r="B971" s="221"/>
      <c r="C971" s="221"/>
      <c r="D971" s="210" t="s">
        <v>71</v>
      </c>
      <c r="E971" s="212">
        <v>414</v>
      </c>
      <c r="F971" s="212">
        <v>7530</v>
      </c>
      <c r="G971" s="212">
        <v>3117420</v>
      </c>
      <c r="H971" s="212">
        <v>1627</v>
      </c>
      <c r="I971" s="212">
        <v>673578</v>
      </c>
      <c r="J971" s="212">
        <v>2443842</v>
      </c>
    </row>
    <row r="972" spans="1:10" ht="29.1" customHeight="1" x14ac:dyDescent="0.15">
      <c r="A972" s="222" t="s">
        <v>119</v>
      </c>
      <c r="B972" s="221" t="s">
        <v>53</v>
      </c>
      <c r="C972" s="221"/>
      <c r="D972" s="221"/>
      <c r="E972" s="212">
        <v>42550</v>
      </c>
      <c r="F972" s="212">
        <v>973894</v>
      </c>
      <c r="G972" s="212">
        <v>471425735</v>
      </c>
      <c r="H972" s="212"/>
      <c r="I972" s="212">
        <v>52362600</v>
      </c>
      <c r="J972" s="212">
        <v>419063135</v>
      </c>
    </row>
    <row r="973" spans="1:10" ht="14.1" customHeight="1" x14ac:dyDescent="0.15">
      <c r="A973" s="221"/>
      <c r="B973" s="210" t="s">
        <v>63</v>
      </c>
      <c r="C973" s="210" t="s">
        <v>64</v>
      </c>
      <c r="D973" s="210" t="s">
        <v>65</v>
      </c>
      <c r="E973" s="218">
        <v>19</v>
      </c>
      <c r="F973" s="218">
        <v>10139</v>
      </c>
      <c r="G973" s="218">
        <v>192641</v>
      </c>
      <c r="H973" s="218">
        <v>0</v>
      </c>
      <c r="I973" s="218">
        <v>0</v>
      </c>
      <c r="J973" s="218">
        <v>192641</v>
      </c>
    </row>
    <row r="974" spans="1:10" ht="14.1" customHeight="1" x14ac:dyDescent="0.15">
      <c r="A974" s="221"/>
      <c r="B974" s="220" t="s">
        <v>66</v>
      </c>
      <c r="C974" s="223" t="s">
        <v>67</v>
      </c>
      <c r="D974" s="210" t="s">
        <v>134</v>
      </c>
      <c r="E974" s="219"/>
      <c r="F974" s="219"/>
      <c r="G974" s="219"/>
      <c r="H974" s="219"/>
      <c r="I974" s="219"/>
      <c r="J974" s="219"/>
    </row>
    <row r="975" spans="1:10" ht="14.1" customHeight="1" x14ac:dyDescent="0.15">
      <c r="A975" s="221"/>
      <c r="B975" s="221"/>
      <c r="C975" s="221"/>
      <c r="D975" s="210" t="s">
        <v>132</v>
      </c>
      <c r="E975" s="212">
        <v>34</v>
      </c>
      <c r="F975" s="212">
        <v>10139</v>
      </c>
      <c r="G975" s="212">
        <v>344726</v>
      </c>
      <c r="H975" s="212">
        <v>0</v>
      </c>
      <c r="I975" s="212">
        <v>0</v>
      </c>
      <c r="J975" s="212">
        <v>344726</v>
      </c>
    </row>
    <row r="976" spans="1:10" ht="29.1" customHeight="1" x14ac:dyDescent="0.15">
      <c r="A976" s="221"/>
      <c r="B976" s="221"/>
      <c r="C976" s="209" t="s">
        <v>159</v>
      </c>
      <c r="D976" s="210" t="s">
        <v>133</v>
      </c>
      <c r="E976" s="212">
        <v>2</v>
      </c>
      <c r="F976" s="212">
        <v>11560</v>
      </c>
      <c r="G976" s="212">
        <v>23120</v>
      </c>
      <c r="H976" s="212">
        <v>2346</v>
      </c>
      <c r="I976" s="212">
        <v>4692</v>
      </c>
      <c r="J976" s="212">
        <v>18428</v>
      </c>
    </row>
    <row r="977" spans="1:10" ht="29.1" customHeight="1" x14ac:dyDescent="0.15">
      <c r="A977" s="221"/>
      <c r="B977" s="221"/>
      <c r="C977" s="209" t="s">
        <v>161</v>
      </c>
      <c r="D977" s="210" t="s">
        <v>133</v>
      </c>
      <c r="E977" s="212">
        <v>3303</v>
      </c>
      <c r="F977" s="212">
        <v>10841</v>
      </c>
      <c r="G977" s="212">
        <v>35807823</v>
      </c>
      <c r="H977" s="212">
        <v>1627</v>
      </c>
      <c r="I977" s="212">
        <v>5373981</v>
      </c>
      <c r="J977" s="212">
        <v>30433842</v>
      </c>
    </row>
    <row r="978" spans="1:10" ht="14.1" customHeight="1" x14ac:dyDescent="0.15">
      <c r="A978" s="221"/>
      <c r="B978" s="220" t="s">
        <v>76</v>
      </c>
      <c r="C978" s="223" t="s">
        <v>67</v>
      </c>
      <c r="D978" s="210" t="s">
        <v>77</v>
      </c>
      <c r="E978" s="212">
        <v>2</v>
      </c>
      <c r="F978" s="212">
        <v>6828</v>
      </c>
      <c r="G978" s="212">
        <v>13656</v>
      </c>
      <c r="H978" s="212">
        <v>0</v>
      </c>
      <c r="I978" s="212">
        <v>0</v>
      </c>
      <c r="J978" s="212">
        <v>13656</v>
      </c>
    </row>
    <row r="979" spans="1:10" ht="14.1" customHeight="1" x14ac:dyDescent="0.15">
      <c r="A979" s="221"/>
      <c r="B979" s="221"/>
      <c r="C979" s="221"/>
      <c r="D979" s="210" t="s">
        <v>135</v>
      </c>
      <c r="E979" s="212">
        <v>2</v>
      </c>
      <c r="F979" s="212">
        <v>6949</v>
      </c>
      <c r="G979" s="212">
        <v>13898</v>
      </c>
      <c r="H979" s="212">
        <v>0</v>
      </c>
      <c r="I979" s="212">
        <v>0</v>
      </c>
      <c r="J979" s="212">
        <v>13898</v>
      </c>
    </row>
    <row r="980" spans="1:10" ht="29.1" customHeight="1" x14ac:dyDescent="0.15">
      <c r="A980" s="221"/>
      <c r="B980" s="221"/>
      <c r="C980" s="222" t="s">
        <v>159</v>
      </c>
      <c r="D980" s="210" t="s">
        <v>71</v>
      </c>
      <c r="E980" s="212">
        <v>8</v>
      </c>
      <c r="F980" s="212">
        <v>8249</v>
      </c>
      <c r="G980" s="212">
        <v>65992</v>
      </c>
      <c r="H980" s="212">
        <v>1421</v>
      </c>
      <c r="I980" s="212">
        <v>11368</v>
      </c>
      <c r="J980" s="212">
        <v>54624</v>
      </c>
    </row>
    <row r="981" spans="1:10" ht="14.1" customHeight="1" x14ac:dyDescent="0.15">
      <c r="A981" s="221"/>
      <c r="B981" s="221"/>
      <c r="C981" s="221"/>
      <c r="D981" s="210" t="s">
        <v>91</v>
      </c>
      <c r="E981" s="212">
        <v>253</v>
      </c>
      <c r="F981" s="212">
        <v>8370</v>
      </c>
      <c r="G981" s="212">
        <v>2117610</v>
      </c>
      <c r="H981" s="212">
        <v>1421</v>
      </c>
      <c r="I981" s="212">
        <v>359513</v>
      </c>
      <c r="J981" s="212">
        <v>1758097</v>
      </c>
    </row>
    <row r="982" spans="1:10" ht="29.1" customHeight="1" x14ac:dyDescent="0.15">
      <c r="A982" s="221"/>
      <c r="B982" s="221"/>
      <c r="C982" s="222" t="s">
        <v>161</v>
      </c>
      <c r="D982" s="210" t="s">
        <v>158</v>
      </c>
      <c r="E982" s="212">
        <v>2</v>
      </c>
      <c r="F982" s="212">
        <v>37944</v>
      </c>
      <c r="G982" s="212">
        <v>75888</v>
      </c>
      <c r="H982" s="212">
        <v>30868</v>
      </c>
      <c r="I982" s="212">
        <v>61736</v>
      </c>
      <c r="J982" s="212">
        <v>14152</v>
      </c>
    </row>
    <row r="983" spans="1:10" ht="14.1" customHeight="1" x14ac:dyDescent="0.15">
      <c r="A983" s="221"/>
      <c r="B983" s="221"/>
      <c r="C983" s="221"/>
      <c r="D983" s="210" t="s">
        <v>71</v>
      </c>
      <c r="E983" s="212">
        <v>2017</v>
      </c>
      <c r="F983" s="212">
        <v>7530</v>
      </c>
      <c r="G983" s="212">
        <v>15188010</v>
      </c>
      <c r="H983" s="212">
        <v>702</v>
      </c>
      <c r="I983" s="212">
        <v>1415934</v>
      </c>
      <c r="J983" s="212">
        <v>13772076</v>
      </c>
    </row>
    <row r="984" spans="1:10" ht="14.1" customHeight="1" x14ac:dyDescent="0.15">
      <c r="A984" s="221"/>
      <c r="B984" s="221"/>
      <c r="C984" s="221"/>
      <c r="D984" s="210" t="s">
        <v>91</v>
      </c>
      <c r="E984" s="212">
        <v>3001</v>
      </c>
      <c r="F984" s="212">
        <v>7651</v>
      </c>
      <c r="G984" s="212">
        <v>22960651</v>
      </c>
      <c r="H984" s="212">
        <v>702</v>
      </c>
      <c r="I984" s="212">
        <v>2106702</v>
      </c>
      <c r="J984" s="212">
        <v>20853949</v>
      </c>
    </row>
    <row r="985" spans="1:10" ht="14.1" customHeight="1" x14ac:dyDescent="0.15">
      <c r="A985" s="221"/>
      <c r="B985" s="220" t="s">
        <v>162</v>
      </c>
      <c r="C985" s="223" t="s">
        <v>108</v>
      </c>
      <c r="D985" s="210" t="s">
        <v>163</v>
      </c>
      <c r="E985" s="212">
        <v>67</v>
      </c>
      <c r="F985" s="212">
        <v>23712</v>
      </c>
      <c r="G985" s="212">
        <v>1588704</v>
      </c>
      <c r="H985" s="212">
        <v>3932</v>
      </c>
      <c r="I985" s="212">
        <v>263444</v>
      </c>
      <c r="J985" s="212">
        <v>1325260</v>
      </c>
    </row>
    <row r="986" spans="1:10" ht="14.1" customHeight="1" x14ac:dyDescent="0.15">
      <c r="A986" s="221"/>
      <c r="B986" s="221"/>
      <c r="C986" s="221"/>
      <c r="D986" s="210" t="s">
        <v>165</v>
      </c>
      <c r="E986" s="212">
        <v>351</v>
      </c>
      <c r="F986" s="212">
        <v>20422</v>
      </c>
      <c r="G986" s="212">
        <v>7168122</v>
      </c>
      <c r="H986" s="212">
        <v>3932</v>
      </c>
      <c r="I986" s="212">
        <v>1380132</v>
      </c>
      <c r="J986" s="212">
        <v>5787990</v>
      </c>
    </row>
    <row r="987" spans="1:10" ht="29.1" customHeight="1" x14ac:dyDescent="0.15">
      <c r="A987" s="221"/>
      <c r="B987" s="222" t="s">
        <v>167</v>
      </c>
      <c r="C987" s="223" t="s">
        <v>67</v>
      </c>
      <c r="D987" s="210" t="s">
        <v>145</v>
      </c>
      <c r="E987" s="212">
        <v>9</v>
      </c>
      <c r="F987" s="212">
        <v>26911</v>
      </c>
      <c r="G987" s="212">
        <v>242199</v>
      </c>
      <c r="H987" s="212">
        <v>0</v>
      </c>
      <c r="I987" s="212">
        <v>0</v>
      </c>
      <c r="J987" s="212">
        <v>242199</v>
      </c>
    </row>
    <row r="988" spans="1:10" ht="14.1" customHeight="1" x14ac:dyDescent="0.15">
      <c r="A988" s="221"/>
      <c r="B988" s="221"/>
      <c r="C988" s="221"/>
      <c r="D988" s="210" t="s">
        <v>85</v>
      </c>
      <c r="E988" s="212">
        <v>8</v>
      </c>
      <c r="F988" s="212">
        <v>26911</v>
      </c>
      <c r="G988" s="212">
        <v>215288</v>
      </c>
      <c r="H988" s="212">
        <v>0</v>
      </c>
      <c r="I988" s="212">
        <v>0</v>
      </c>
      <c r="J988" s="212">
        <v>215288</v>
      </c>
    </row>
    <row r="989" spans="1:10" ht="14.1" customHeight="1" x14ac:dyDescent="0.15">
      <c r="A989" s="221"/>
      <c r="B989" s="221"/>
      <c r="C989" s="221"/>
      <c r="D989" s="210" t="s">
        <v>141</v>
      </c>
      <c r="E989" s="212">
        <v>9</v>
      </c>
      <c r="F989" s="212">
        <v>13127</v>
      </c>
      <c r="G989" s="212">
        <v>118143</v>
      </c>
      <c r="H989" s="212">
        <v>0</v>
      </c>
      <c r="I989" s="212">
        <v>0</v>
      </c>
      <c r="J989" s="212">
        <v>118143</v>
      </c>
    </row>
    <row r="990" spans="1:10" ht="14.1" customHeight="1" x14ac:dyDescent="0.15">
      <c r="A990" s="221"/>
      <c r="B990" s="221"/>
      <c r="C990" s="221"/>
      <c r="D990" s="210" t="s">
        <v>78</v>
      </c>
      <c r="E990" s="212">
        <v>21</v>
      </c>
      <c r="F990" s="212">
        <v>13127</v>
      </c>
      <c r="G990" s="212">
        <v>275667</v>
      </c>
      <c r="H990" s="212">
        <v>0</v>
      </c>
      <c r="I990" s="212">
        <v>0</v>
      </c>
      <c r="J990" s="212">
        <v>275667</v>
      </c>
    </row>
    <row r="991" spans="1:10" ht="14.1" customHeight="1" x14ac:dyDescent="0.15">
      <c r="A991" s="221"/>
      <c r="B991" s="221"/>
      <c r="C991" s="221"/>
      <c r="D991" s="210" t="s">
        <v>146</v>
      </c>
      <c r="E991" s="212">
        <v>1</v>
      </c>
      <c r="F991" s="212">
        <v>10040</v>
      </c>
      <c r="G991" s="212">
        <v>10040</v>
      </c>
      <c r="H991" s="212">
        <v>0</v>
      </c>
      <c r="I991" s="212">
        <v>0</v>
      </c>
      <c r="J991" s="212">
        <v>10040</v>
      </c>
    </row>
    <row r="992" spans="1:10" ht="14.1" customHeight="1" x14ac:dyDescent="0.15">
      <c r="A992" s="221"/>
      <c r="B992" s="221"/>
      <c r="C992" s="221"/>
      <c r="D992" s="210" t="s">
        <v>83</v>
      </c>
      <c r="E992" s="212">
        <v>3</v>
      </c>
      <c r="F992" s="212">
        <v>10040</v>
      </c>
      <c r="G992" s="212">
        <v>30120</v>
      </c>
      <c r="H992" s="212">
        <v>0</v>
      </c>
      <c r="I992" s="212">
        <v>0</v>
      </c>
      <c r="J992" s="212">
        <v>30120</v>
      </c>
    </row>
    <row r="993" spans="1:10" ht="14.1" customHeight="1" x14ac:dyDescent="0.15">
      <c r="A993" s="221"/>
      <c r="B993" s="221"/>
      <c r="C993" s="221"/>
      <c r="D993" s="210" t="s">
        <v>136</v>
      </c>
      <c r="E993" s="212">
        <v>5</v>
      </c>
      <c r="F993" s="212">
        <v>6828</v>
      </c>
      <c r="G993" s="212">
        <v>34140</v>
      </c>
      <c r="H993" s="212">
        <v>0</v>
      </c>
      <c r="I993" s="212">
        <v>0</v>
      </c>
      <c r="J993" s="212">
        <v>34140</v>
      </c>
    </row>
    <row r="994" spans="1:10" ht="14.1" customHeight="1" x14ac:dyDescent="0.15">
      <c r="A994" s="221"/>
      <c r="B994" s="221"/>
      <c r="C994" s="221"/>
      <c r="D994" s="210" t="s">
        <v>77</v>
      </c>
      <c r="E994" s="212">
        <v>182</v>
      </c>
      <c r="F994" s="212">
        <v>6828</v>
      </c>
      <c r="G994" s="212">
        <v>1242696</v>
      </c>
      <c r="H994" s="212">
        <v>0</v>
      </c>
      <c r="I994" s="212">
        <v>0</v>
      </c>
      <c r="J994" s="212">
        <v>1242696</v>
      </c>
    </row>
    <row r="995" spans="1:10" ht="14.1" customHeight="1" x14ac:dyDescent="0.15">
      <c r="A995" s="221"/>
      <c r="B995" s="221"/>
      <c r="C995" s="221"/>
      <c r="D995" s="210" t="s">
        <v>149</v>
      </c>
      <c r="E995" s="212">
        <v>6</v>
      </c>
      <c r="F995" s="212">
        <v>4251</v>
      </c>
      <c r="G995" s="212">
        <v>25506</v>
      </c>
      <c r="H995" s="212">
        <v>0</v>
      </c>
      <c r="I995" s="212">
        <v>0</v>
      </c>
      <c r="J995" s="212">
        <v>25506</v>
      </c>
    </row>
    <row r="996" spans="1:10" ht="14.1" customHeight="1" x14ac:dyDescent="0.15">
      <c r="A996" s="221"/>
      <c r="B996" s="221"/>
      <c r="C996" s="221"/>
      <c r="D996" s="210" t="s">
        <v>137</v>
      </c>
      <c r="E996" s="212">
        <v>3</v>
      </c>
      <c r="F996" s="212">
        <v>4097</v>
      </c>
      <c r="G996" s="212">
        <v>12291</v>
      </c>
      <c r="H996" s="212">
        <v>0</v>
      </c>
      <c r="I996" s="212">
        <v>0</v>
      </c>
      <c r="J996" s="212">
        <v>12291</v>
      </c>
    </row>
    <row r="997" spans="1:10" ht="14.1" customHeight="1" x14ac:dyDescent="0.15">
      <c r="A997" s="221"/>
      <c r="B997" s="221"/>
      <c r="C997" s="221"/>
      <c r="D997" s="210" t="s">
        <v>143</v>
      </c>
      <c r="E997" s="212">
        <v>12</v>
      </c>
      <c r="F997" s="212">
        <v>5103</v>
      </c>
      <c r="G997" s="212">
        <v>61236</v>
      </c>
      <c r="H997" s="212">
        <v>0</v>
      </c>
      <c r="I997" s="212">
        <v>0</v>
      </c>
      <c r="J997" s="212">
        <v>61236</v>
      </c>
    </row>
    <row r="998" spans="1:10" ht="14.1" customHeight="1" x14ac:dyDescent="0.15">
      <c r="A998" s="221"/>
      <c r="B998" s="221"/>
      <c r="C998" s="221"/>
      <c r="D998" s="210" t="s">
        <v>138</v>
      </c>
      <c r="E998" s="212">
        <v>11</v>
      </c>
      <c r="F998" s="212">
        <v>5103</v>
      </c>
      <c r="G998" s="212">
        <v>56133</v>
      </c>
      <c r="H998" s="212">
        <v>0</v>
      </c>
      <c r="I998" s="212">
        <v>0</v>
      </c>
      <c r="J998" s="212">
        <v>56133</v>
      </c>
    </row>
    <row r="999" spans="1:10" ht="29.1" customHeight="1" x14ac:dyDescent="0.15">
      <c r="A999" s="221"/>
      <c r="B999" s="221"/>
      <c r="C999" s="222" t="s">
        <v>159</v>
      </c>
      <c r="D999" s="210" t="s">
        <v>70</v>
      </c>
      <c r="E999" s="212">
        <v>22</v>
      </c>
      <c r="F999" s="212">
        <v>3986</v>
      </c>
      <c r="G999" s="212">
        <v>87692</v>
      </c>
      <c r="H999" s="212">
        <v>1421</v>
      </c>
      <c r="I999" s="212">
        <v>31262</v>
      </c>
      <c r="J999" s="212">
        <v>56430</v>
      </c>
    </row>
    <row r="1000" spans="1:10" ht="14.1" customHeight="1" x14ac:dyDescent="0.15">
      <c r="A1000" s="221"/>
      <c r="B1000" s="221"/>
      <c r="C1000" s="221"/>
      <c r="D1000" s="210" t="s">
        <v>79</v>
      </c>
      <c r="E1000" s="212">
        <v>14</v>
      </c>
      <c r="F1000" s="212">
        <v>28332</v>
      </c>
      <c r="G1000" s="212">
        <v>396648</v>
      </c>
      <c r="H1000" s="212">
        <v>1421</v>
      </c>
      <c r="I1000" s="212">
        <v>19894</v>
      </c>
      <c r="J1000" s="212">
        <v>376754</v>
      </c>
    </row>
    <row r="1001" spans="1:10" ht="14.1" customHeight="1" x14ac:dyDescent="0.15">
      <c r="A1001" s="221"/>
      <c r="B1001" s="221"/>
      <c r="C1001" s="221"/>
      <c r="D1001" s="210" t="s">
        <v>73</v>
      </c>
      <c r="E1001" s="212">
        <v>8</v>
      </c>
      <c r="F1001" s="212">
        <v>14548</v>
      </c>
      <c r="G1001" s="212">
        <v>116384</v>
      </c>
      <c r="H1001" s="212">
        <v>1421</v>
      </c>
      <c r="I1001" s="212">
        <v>11368</v>
      </c>
      <c r="J1001" s="212">
        <v>105016</v>
      </c>
    </row>
    <row r="1002" spans="1:10" ht="14.1" customHeight="1" x14ac:dyDescent="0.15">
      <c r="A1002" s="221"/>
      <c r="B1002" s="221"/>
      <c r="C1002" s="221"/>
      <c r="D1002" s="210" t="s">
        <v>74</v>
      </c>
      <c r="E1002" s="212">
        <v>3</v>
      </c>
      <c r="F1002" s="212">
        <v>11461</v>
      </c>
      <c r="G1002" s="212">
        <v>34383</v>
      </c>
      <c r="H1002" s="212">
        <v>1421</v>
      </c>
      <c r="I1002" s="212">
        <v>4263</v>
      </c>
      <c r="J1002" s="212">
        <v>30120</v>
      </c>
    </row>
    <row r="1003" spans="1:10" ht="14.1" customHeight="1" x14ac:dyDescent="0.15">
      <c r="A1003" s="221"/>
      <c r="B1003" s="221"/>
      <c r="C1003" s="221"/>
      <c r="D1003" s="210" t="s">
        <v>71</v>
      </c>
      <c r="E1003" s="212">
        <v>36</v>
      </c>
      <c r="F1003" s="212">
        <v>8249</v>
      </c>
      <c r="G1003" s="212">
        <v>296964</v>
      </c>
      <c r="H1003" s="212">
        <v>1421</v>
      </c>
      <c r="I1003" s="212">
        <v>51156</v>
      </c>
      <c r="J1003" s="212">
        <v>245808</v>
      </c>
    </row>
    <row r="1004" spans="1:10" ht="14.1" customHeight="1" x14ac:dyDescent="0.15">
      <c r="A1004" s="221"/>
      <c r="B1004" s="221"/>
      <c r="C1004" s="221"/>
      <c r="D1004" s="210" t="s">
        <v>139</v>
      </c>
      <c r="E1004" s="212">
        <v>24</v>
      </c>
      <c r="F1004" s="212">
        <v>5518</v>
      </c>
      <c r="G1004" s="212">
        <v>132432</v>
      </c>
      <c r="H1004" s="212">
        <v>1421</v>
      </c>
      <c r="I1004" s="212">
        <v>34104</v>
      </c>
      <c r="J1004" s="212">
        <v>98328</v>
      </c>
    </row>
    <row r="1005" spans="1:10" ht="14.1" customHeight="1" x14ac:dyDescent="0.15">
      <c r="A1005" s="221"/>
      <c r="B1005" s="221"/>
      <c r="C1005" s="221"/>
      <c r="D1005" s="210" t="s">
        <v>140</v>
      </c>
      <c r="E1005" s="212">
        <v>2</v>
      </c>
      <c r="F1005" s="212">
        <v>6524</v>
      </c>
      <c r="G1005" s="212">
        <v>13048</v>
      </c>
      <c r="H1005" s="212">
        <v>1421</v>
      </c>
      <c r="I1005" s="212">
        <v>2842</v>
      </c>
      <c r="J1005" s="212">
        <v>10206</v>
      </c>
    </row>
    <row r="1006" spans="1:10" ht="29.1" customHeight="1" x14ac:dyDescent="0.15">
      <c r="A1006" s="221"/>
      <c r="B1006" s="221"/>
      <c r="C1006" s="222" t="s">
        <v>160</v>
      </c>
      <c r="D1006" s="210" t="s">
        <v>70</v>
      </c>
      <c r="E1006" s="212">
        <v>6</v>
      </c>
      <c r="F1006" s="212">
        <v>3932</v>
      </c>
      <c r="G1006" s="212">
        <v>23592</v>
      </c>
      <c r="H1006" s="212">
        <v>1367</v>
      </c>
      <c r="I1006" s="212">
        <v>8202</v>
      </c>
      <c r="J1006" s="212">
        <v>15390</v>
      </c>
    </row>
    <row r="1007" spans="1:10" ht="14.1" customHeight="1" x14ac:dyDescent="0.15">
      <c r="A1007" s="221"/>
      <c r="B1007" s="221"/>
      <c r="C1007" s="221"/>
      <c r="D1007" s="210" t="s">
        <v>73</v>
      </c>
      <c r="E1007" s="212">
        <v>4</v>
      </c>
      <c r="F1007" s="212">
        <v>14494</v>
      </c>
      <c r="G1007" s="212">
        <v>57976</v>
      </c>
      <c r="H1007" s="212">
        <v>1367</v>
      </c>
      <c r="I1007" s="212">
        <v>5468</v>
      </c>
      <c r="J1007" s="212">
        <v>52508</v>
      </c>
    </row>
    <row r="1008" spans="1:10" ht="14.1" customHeight="1" x14ac:dyDescent="0.15">
      <c r="A1008" s="221"/>
      <c r="B1008" s="221"/>
      <c r="C1008" s="221"/>
      <c r="D1008" s="210" t="s">
        <v>139</v>
      </c>
      <c r="E1008" s="212">
        <v>57</v>
      </c>
      <c r="F1008" s="212">
        <v>5347</v>
      </c>
      <c r="G1008" s="212">
        <v>304798</v>
      </c>
      <c r="H1008" s="212">
        <v>1367</v>
      </c>
      <c r="I1008" s="212">
        <v>77919</v>
      </c>
      <c r="J1008" s="212">
        <v>226879</v>
      </c>
    </row>
    <row r="1009" spans="1:10" ht="29.1" customHeight="1" x14ac:dyDescent="0.15">
      <c r="A1009" s="221"/>
      <c r="B1009" s="221"/>
      <c r="C1009" s="222" t="s">
        <v>161</v>
      </c>
      <c r="D1009" s="210" t="s">
        <v>70</v>
      </c>
      <c r="E1009" s="212">
        <v>782</v>
      </c>
      <c r="F1009" s="212">
        <v>3267</v>
      </c>
      <c r="G1009" s="212">
        <v>2554794</v>
      </c>
      <c r="H1009" s="212">
        <v>702</v>
      </c>
      <c r="I1009" s="212">
        <v>548964</v>
      </c>
      <c r="J1009" s="212">
        <v>2005830</v>
      </c>
    </row>
    <row r="1010" spans="1:10" ht="14.1" customHeight="1" x14ac:dyDescent="0.15">
      <c r="A1010" s="221"/>
      <c r="B1010" s="221"/>
      <c r="C1010" s="221"/>
      <c r="D1010" s="210" t="s">
        <v>101</v>
      </c>
      <c r="E1010" s="212">
        <v>7</v>
      </c>
      <c r="F1010" s="212">
        <v>45688</v>
      </c>
      <c r="G1010" s="212">
        <v>319816</v>
      </c>
      <c r="H1010" s="212">
        <v>702</v>
      </c>
      <c r="I1010" s="212">
        <v>4914</v>
      </c>
      <c r="J1010" s="212">
        <v>314902</v>
      </c>
    </row>
    <row r="1011" spans="1:10" ht="14.1" customHeight="1" x14ac:dyDescent="0.15">
      <c r="A1011" s="221"/>
      <c r="B1011" s="221"/>
      <c r="C1011" s="221"/>
      <c r="D1011" s="210" t="s">
        <v>79</v>
      </c>
      <c r="E1011" s="212">
        <v>1699</v>
      </c>
      <c r="F1011" s="212">
        <v>27613</v>
      </c>
      <c r="G1011" s="212">
        <v>46914487</v>
      </c>
      <c r="H1011" s="212">
        <v>702</v>
      </c>
      <c r="I1011" s="212">
        <v>1192698</v>
      </c>
      <c r="J1011" s="212">
        <v>45721789</v>
      </c>
    </row>
    <row r="1012" spans="1:10" ht="14.1" customHeight="1" x14ac:dyDescent="0.15">
      <c r="A1012" s="221"/>
      <c r="B1012" s="221"/>
      <c r="C1012" s="221"/>
      <c r="D1012" s="210" t="s">
        <v>73</v>
      </c>
      <c r="E1012" s="212">
        <v>3831</v>
      </c>
      <c r="F1012" s="212">
        <v>13829</v>
      </c>
      <c r="G1012" s="212">
        <v>52978899</v>
      </c>
      <c r="H1012" s="212">
        <v>702</v>
      </c>
      <c r="I1012" s="212">
        <v>2689362</v>
      </c>
      <c r="J1012" s="212">
        <v>50289537</v>
      </c>
    </row>
    <row r="1013" spans="1:10" ht="14.1" customHeight="1" x14ac:dyDescent="0.15">
      <c r="A1013" s="221"/>
      <c r="B1013" s="221"/>
      <c r="C1013" s="221"/>
      <c r="D1013" s="210" t="s">
        <v>74</v>
      </c>
      <c r="E1013" s="212">
        <v>571</v>
      </c>
      <c r="F1013" s="212">
        <v>10742</v>
      </c>
      <c r="G1013" s="212">
        <v>6133682</v>
      </c>
      <c r="H1013" s="212">
        <v>702</v>
      </c>
      <c r="I1013" s="212">
        <v>400842</v>
      </c>
      <c r="J1013" s="212">
        <v>5732840</v>
      </c>
    </row>
    <row r="1014" spans="1:10" ht="14.1" customHeight="1" x14ac:dyDescent="0.15">
      <c r="A1014" s="221"/>
      <c r="B1014" s="221"/>
      <c r="C1014" s="221"/>
      <c r="D1014" s="210" t="s">
        <v>71</v>
      </c>
      <c r="E1014" s="212">
        <v>3812</v>
      </c>
      <c r="F1014" s="212">
        <v>7530</v>
      </c>
      <c r="G1014" s="212">
        <v>28704360</v>
      </c>
      <c r="H1014" s="212">
        <v>702</v>
      </c>
      <c r="I1014" s="212">
        <v>2676024</v>
      </c>
      <c r="J1014" s="212">
        <v>26028336</v>
      </c>
    </row>
    <row r="1015" spans="1:10" ht="14.1" customHeight="1" x14ac:dyDescent="0.15">
      <c r="A1015" s="221"/>
      <c r="B1015" s="221"/>
      <c r="C1015" s="221"/>
      <c r="D1015" s="210" t="s">
        <v>72</v>
      </c>
      <c r="E1015" s="212">
        <v>95</v>
      </c>
      <c r="F1015" s="212">
        <v>4953</v>
      </c>
      <c r="G1015" s="212">
        <v>470535</v>
      </c>
      <c r="H1015" s="212">
        <v>702</v>
      </c>
      <c r="I1015" s="212">
        <v>66690</v>
      </c>
      <c r="J1015" s="212">
        <v>403845</v>
      </c>
    </row>
    <row r="1016" spans="1:10" ht="14.1" customHeight="1" x14ac:dyDescent="0.15">
      <c r="A1016" s="221"/>
      <c r="B1016" s="221"/>
      <c r="C1016" s="221"/>
      <c r="D1016" s="210" t="s">
        <v>82</v>
      </c>
      <c r="E1016" s="212">
        <v>11</v>
      </c>
      <c r="F1016" s="212">
        <v>3112</v>
      </c>
      <c r="G1016" s="212">
        <v>34232</v>
      </c>
      <c r="H1016" s="212">
        <v>702</v>
      </c>
      <c r="I1016" s="212">
        <v>7722</v>
      </c>
      <c r="J1016" s="212">
        <v>26510</v>
      </c>
    </row>
    <row r="1017" spans="1:10" ht="14.1" customHeight="1" x14ac:dyDescent="0.15">
      <c r="A1017" s="221"/>
      <c r="B1017" s="221"/>
      <c r="C1017" s="221"/>
      <c r="D1017" s="210" t="s">
        <v>75</v>
      </c>
      <c r="E1017" s="212">
        <v>22</v>
      </c>
      <c r="F1017" s="212">
        <v>1907</v>
      </c>
      <c r="G1017" s="212">
        <v>41954</v>
      </c>
      <c r="H1017" s="212">
        <v>702</v>
      </c>
      <c r="I1017" s="212">
        <v>15444</v>
      </c>
      <c r="J1017" s="212">
        <v>26510</v>
      </c>
    </row>
    <row r="1018" spans="1:10" ht="14.1" customHeight="1" x14ac:dyDescent="0.15">
      <c r="A1018" s="221"/>
      <c r="B1018" s="221"/>
      <c r="C1018" s="221"/>
      <c r="D1018" s="210" t="s">
        <v>92</v>
      </c>
      <c r="E1018" s="212">
        <v>1</v>
      </c>
      <c r="F1018" s="212">
        <v>1244</v>
      </c>
      <c r="G1018" s="212">
        <v>1244</v>
      </c>
      <c r="H1018" s="212">
        <v>702</v>
      </c>
      <c r="I1018" s="212">
        <v>702</v>
      </c>
      <c r="J1018" s="212">
        <v>542</v>
      </c>
    </row>
    <row r="1019" spans="1:10" ht="14.1" customHeight="1" x14ac:dyDescent="0.15">
      <c r="A1019" s="221"/>
      <c r="B1019" s="221"/>
      <c r="C1019" s="221"/>
      <c r="D1019" s="210" t="s">
        <v>69</v>
      </c>
      <c r="E1019" s="212">
        <v>21</v>
      </c>
      <c r="F1019" s="212">
        <v>24895</v>
      </c>
      <c r="G1019" s="212">
        <v>522795</v>
      </c>
      <c r="H1019" s="212">
        <v>702</v>
      </c>
      <c r="I1019" s="212">
        <v>14742</v>
      </c>
      <c r="J1019" s="212">
        <v>508053</v>
      </c>
    </row>
    <row r="1020" spans="1:10" ht="14.1" customHeight="1" x14ac:dyDescent="0.15">
      <c r="A1020" s="221"/>
      <c r="B1020" s="221"/>
      <c r="C1020" s="221"/>
      <c r="D1020" s="210" t="s">
        <v>139</v>
      </c>
      <c r="E1020" s="212">
        <v>914</v>
      </c>
      <c r="F1020" s="212">
        <v>4799</v>
      </c>
      <c r="G1020" s="212">
        <v>4386286</v>
      </c>
      <c r="H1020" s="212">
        <v>702</v>
      </c>
      <c r="I1020" s="212">
        <v>641628</v>
      </c>
      <c r="J1020" s="212">
        <v>3744658</v>
      </c>
    </row>
    <row r="1021" spans="1:10" ht="14.1" customHeight="1" x14ac:dyDescent="0.15">
      <c r="A1021" s="221"/>
      <c r="B1021" s="221"/>
      <c r="C1021" s="221"/>
      <c r="D1021" s="210" t="s">
        <v>140</v>
      </c>
      <c r="E1021" s="212">
        <v>1246</v>
      </c>
      <c r="F1021" s="212">
        <v>5805</v>
      </c>
      <c r="G1021" s="212">
        <v>7233030</v>
      </c>
      <c r="H1021" s="212">
        <v>702</v>
      </c>
      <c r="I1021" s="212">
        <v>874692</v>
      </c>
      <c r="J1021" s="212">
        <v>6358338</v>
      </c>
    </row>
    <row r="1022" spans="1:10" ht="14.1" customHeight="1" x14ac:dyDescent="0.15">
      <c r="A1022" s="221"/>
      <c r="B1022" s="220" t="s">
        <v>168</v>
      </c>
      <c r="C1022" s="223" t="s">
        <v>67</v>
      </c>
      <c r="D1022" s="210" t="s">
        <v>144</v>
      </c>
      <c r="E1022" s="212">
        <v>2</v>
      </c>
      <c r="F1022" s="212">
        <v>44986</v>
      </c>
      <c r="G1022" s="212">
        <v>89972</v>
      </c>
      <c r="H1022" s="212">
        <v>925</v>
      </c>
      <c r="I1022" s="212">
        <v>1850</v>
      </c>
      <c r="J1022" s="212">
        <v>88122</v>
      </c>
    </row>
    <row r="1023" spans="1:10" ht="14.1" customHeight="1" x14ac:dyDescent="0.15">
      <c r="A1023" s="221"/>
      <c r="B1023" s="221"/>
      <c r="C1023" s="221"/>
      <c r="D1023" s="210" t="s">
        <v>145</v>
      </c>
      <c r="E1023" s="212">
        <v>27</v>
      </c>
      <c r="F1023" s="212">
        <v>26911</v>
      </c>
      <c r="G1023" s="212">
        <v>726597</v>
      </c>
      <c r="H1023" s="212">
        <v>925</v>
      </c>
      <c r="I1023" s="212">
        <v>24975</v>
      </c>
      <c r="J1023" s="212">
        <v>701622</v>
      </c>
    </row>
    <row r="1024" spans="1:10" ht="14.1" customHeight="1" x14ac:dyDescent="0.15">
      <c r="A1024" s="221"/>
      <c r="B1024" s="221"/>
      <c r="C1024" s="221"/>
      <c r="D1024" s="210" t="s">
        <v>85</v>
      </c>
      <c r="E1024" s="212">
        <v>31</v>
      </c>
      <c r="F1024" s="212">
        <v>26911</v>
      </c>
      <c r="G1024" s="212">
        <v>834241</v>
      </c>
      <c r="H1024" s="212">
        <v>925</v>
      </c>
      <c r="I1024" s="212">
        <v>28675</v>
      </c>
      <c r="J1024" s="212">
        <v>805566</v>
      </c>
    </row>
    <row r="1025" spans="1:10" ht="14.1" customHeight="1" x14ac:dyDescent="0.15">
      <c r="A1025" s="221"/>
      <c r="B1025" s="221"/>
      <c r="C1025" s="221"/>
      <c r="D1025" s="210" t="s">
        <v>141</v>
      </c>
      <c r="E1025" s="212">
        <v>21</v>
      </c>
      <c r="F1025" s="212">
        <v>13127</v>
      </c>
      <c r="G1025" s="212">
        <v>275667</v>
      </c>
      <c r="H1025" s="212">
        <v>925</v>
      </c>
      <c r="I1025" s="212">
        <v>19425</v>
      </c>
      <c r="J1025" s="212">
        <v>256242</v>
      </c>
    </row>
    <row r="1026" spans="1:10" ht="14.1" customHeight="1" x14ac:dyDescent="0.15">
      <c r="A1026" s="221"/>
      <c r="B1026" s="221"/>
      <c r="C1026" s="221"/>
      <c r="D1026" s="210" t="s">
        <v>78</v>
      </c>
      <c r="E1026" s="212">
        <v>2</v>
      </c>
      <c r="F1026" s="212">
        <v>13127</v>
      </c>
      <c r="G1026" s="212">
        <v>26254</v>
      </c>
      <c r="H1026" s="212">
        <v>925</v>
      </c>
      <c r="I1026" s="212">
        <v>1850</v>
      </c>
      <c r="J1026" s="212">
        <v>24404</v>
      </c>
    </row>
    <row r="1027" spans="1:10" ht="14.1" customHeight="1" x14ac:dyDescent="0.15">
      <c r="A1027" s="221"/>
      <c r="B1027" s="221"/>
      <c r="C1027" s="221"/>
      <c r="D1027" s="210" t="s">
        <v>146</v>
      </c>
      <c r="E1027" s="212">
        <v>31</v>
      </c>
      <c r="F1027" s="212">
        <v>10040</v>
      </c>
      <c r="G1027" s="212">
        <v>311240</v>
      </c>
      <c r="H1027" s="212">
        <v>925</v>
      </c>
      <c r="I1027" s="212">
        <v>28675</v>
      </c>
      <c r="J1027" s="212">
        <v>282565</v>
      </c>
    </row>
    <row r="1028" spans="1:10" ht="14.1" customHeight="1" x14ac:dyDescent="0.15">
      <c r="A1028" s="221"/>
      <c r="B1028" s="221"/>
      <c r="C1028" s="221"/>
      <c r="D1028" s="210" t="s">
        <v>83</v>
      </c>
      <c r="E1028" s="212">
        <v>8</v>
      </c>
      <c r="F1028" s="212">
        <v>10040</v>
      </c>
      <c r="G1028" s="212">
        <v>80320</v>
      </c>
      <c r="H1028" s="212">
        <v>925</v>
      </c>
      <c r="I1028" s="212">
        <v>7400</v>
      </c>
      <c r="J1028" s="212">
        <v>72920</v>
      </c>
    </row>
    <row r="1029" spans="1:10" ht="14.1" customHeight="1" x14ac:dyDescent="0.15">
      <c r="A1029" s="221"/>
      <c r="B1029" s="221"/>
      <c r="C1029" s="221"/>
      <c r="D1029" s="210" t="s">
        <v>136</v>
      </c>
      <c r="E1029" s="212">
        <v>69</v>
      </c>
      <c r="F1029" s="212">
        <v>6828</v>
      </c>
      <c r="G1029" s="212">
        <v>471132</v>
      </c>
      <c r="H1029" s="212">
        <v>925</v>
      </c>
      <c r="I1029" s="212">
        <v>63825</v>
      </c>
      <c r="J1029" s="212">
        <v>407307</v>
      </c>
    </row>
    <row r="1030" spans="1:10" ht="14.1" customHeight="1" x14ac:dyDescent="0.15">
      <c r="A1030" s="221"/>
      <c r="B1030" s="221"/>
      <c r="C1030" s="221"/>
      <c r="D1030" s="210" t="s">
        <v>77</v>
      </c>
      <c r="E1030" s="212">
        <v>782</v>
      </c>
      <c r="F1030" s="212">
        <v>6828</v>
      </c>
      <c r="G1030" s="212">
        <v>5339496</v>
      </c>
      <c r="H1030" s="212">
        <v>925</v>
      </c>
      <c r="I1030" s="212">
        <v>723350</v>
      </c>
      <c r="J1030" s="212">
        <v>4616146</v>
      </c>
    </row>
    <row r="1031" spans="1:10" ht="14.1" customHeight="1" x14ac:dyDescent="0.15">
      <c r="A1031" s="221"/>
      <c r="B1031" s="221"/>
      <c r="C1031" s="221"/>
      <c r="D1031" s="210" t="s">
        <v>149</v>
      </c>
      <c r="E1031" s="212">
        <v>10</v>
      </c>
      <c r="F1031" s="212">
        <v>4251</v>
      </c>
      <c r="G1031" s="212">
        <v>42510</v>
      </c>
      <c r="H1031" s="212">
        <v>925</v>
      </c>
      <c r="I1031" s="212">
        <v>9250</v>
      </c>
      <c r="J1031" s="212">
        <v>33260</v>
      </c>
    </row>
    <row r="1032" spans="1:10" ht="14.1" customHeight="1" x14ac:dyDescent="0.15">
      <c r="A1032" s="221"/>
      <c r="B1032" s="221"/>
      <c r="C1032" s="221"/>
      <c r="D1032" s="210" t="s">
        <v>147</v>
      </c>
      <c r="E1032" s="212">
        <v>5</v>
      </c>
      <c r="F1032" s="212">
        <v>2410</v>
      </c>
      <c r="G1032" s="212">
        <v>12050</v>
      </c>
      <c r="H1032" s="212">
        <v>925</v>
      </c>
      <c r="I1032" s="212">
        <v>4625</v>
      </c>
      <c r="J1032" s="212">
        <v>7425</v>
      </c>
    </row>
    <row r="1033" spans="1:10" ht="14.1" customHeight="1" x14ac:dyDescent="0.15">
      <c r="A1033" s="221"/>
      <c r="B1033" s="221"/>
      <c r="C1033" s="221"/>
      <c r="D1033" s="210" t="s">
        <v>148</v>
      </c>
      <c r="E1033" s="212">
        <v>5</v>
      </c>
      <c r="F1033" s="212">
        <v>1205</v>
      </c>
      <c r="G1033" s="212">
        <v>6025</v>
      </c>
      <c r="H1033" s="212">
        <v>925</v>
      </c>
      <c r="I1033" s="212">
        <v>4625</v>
      </c>
      <c r="J1033" s="212">
        <v>1400</v>
      </c>
    </row>
    <row r="1034" spans="1:10" ht="14.1" customHeight="1" x14ac:dyDescent="0.15">
      <c r="A1034" s="221"/>
      <c r="B1034" s="221"/>
      <c r="C1034" s="221"/>
      <c r="D1034" s="210" t="s">
        <v>89</v>
      </c>
      <c r="E1034" s="212">
        <v>7</v>
      </c>
      <c r="F1034" s="212">
        <v>1205</v>
      </c>
      <c r="G1034" s="212">
        <v>8435</v>
      </c>
      <c r="H1034" s="212">
        <v>925</v>
      </c>
      <c r="I1034" s="212">
        <v>6475</v>
      </c>
      <c r="J1034" s="212">
        <v>1960</v>
      </c>
    </row>
    <row r="1035" spans="1:10" ht="29.1" customHeight="1" x14ac:dyDescent="0.15">
      <c r="A1035" s="221"/>
      <c r="B1035" s="221"/>
      <c r="C1035" s="222" t="s">
        <v>159</v>
      </c>
      <c r="D1035" s="210" t="s">
        <v>79</v>
      </c>
      <c r="E1035" s="212">
        <v>3</v>
      </c>
      <c r="F1035" s="212">
        <v>28332</v>
      </c>
      <c r="G1035" s="212">
        <v>84996</v>
      </c>
      <c r="H1035" s="212">
        <v>2346</v>
      </c>
      <c r="I1035" s="212">
        <v>7038</v>
      </c>
      <c r="J1035" s="212">
        <v>77958</v>
      </c>
    </row>
    <row r="1036" spans="1:10" ht="14.1" customHeight="1" x14ac:dyDescent="0.15">
      <c r="A1036" s="221"/>
      <c r="B1036" s="221"/>
      <c r="C1036" s="221"/>
      <c r="D1036" s="210" t="s">
        <v>73</v>
      </c>
      <c r="E1036" s="212">
        <v>2</v>
      </c>
      <c r="F1036" s="212">
        <v>14548</v>
      </c>
      <c r="G1036" s="212">
        <v>29096</v>
      </c>
      <c r="H1036" s="212">
        <v>2346</v>
      </c>
      <c r="I1036" s="212">
        <v>4692</v>
      </c>
      <c r="J1036" s="212">
        <v>24404</v>
      </c>
    </row>
    <row r="1037" spans="1:10" ht="14.1" customHeight="1" x14ac:dyDescent="0.15">
      <c r="A1037" s="221"/>
      <c r="B1037" s="221"/>
      <c r="C1037" s="221"/>
      <c r="D1037" s="210" t="s">
        <v>74</v>
      </c>
      <c r="E1037" s="212">
        <v>4</v>
      </c>
      <c r="F1037" s="212">
        <v>11461</v>
      </c>
      <c r="G1037" s="212">
        <v>45844</v>
      </c>
      <c r="H1037" s="212">
        <v>2346</v>
      </c>
      <c r="I1037" s="212">
        <v>9384</v>
      </c>
      <c r="J1037" s="212">
        <v>36460</v>
      </c>
    </row>
    <row r="1038" spans="1:10" ht="14.1" customHeight="1" x14ac:dyDescent="0.15">
      <c r="A1038" s="221"/>
      <c r="B1038" s="221"/>
      <c r="C1038" s="221"/>
      <c r="D1038" s="210" t="s">
        <v>71</v>
      </c>
      <c r="E1038" s="212">
        <v>151</v>
      </c>
      <c r="F1038" s="212">
        <v>8249</v>
      </c>
      <c r="G1038" s="212">
        <v>1245599</v>
      </c>
      <c r="H1038" s="212">
        <v>2346</v>
      </c>
      <c r="I1038" s="212">
        <v>354246</v>
      </c>
      <c r="J1038" s="212">
        <v>891353</v>
      </c>
    </row>
    <row r="1039" spans="1:10" ht="14.1" customHeight="1" x14ac:dyDescent="0.15">
      <c r="A1039" s="221"/>
      <c r="B1039" s="221"/>
      <c r="C1039" s="221"/>
      <c r="D1039" s="210" t="s">
        <v>72</v>
      </c>
      <c r="E1039" s="212">
        <v>1</v>
      </c>
      <c r="F1039" s="212">
        <v>5672</v>
      </c>
      <c r="G1039" s="212">
        <v>5672</v>
      </c>
      <c r="H1039" s="212">
        <v>2346</v>
      </c>
      <c r="I1039" s="212">
        <v>2346</v>
      </c>
      <c r="J1039" s="212">
        <v>3326</v>
      </c>
    </row>
    <row r="1040" spans="1:10" ht="29.1" customHeight="1" x14ac:dyDescent="0.15">
      <c r="A1040" s="221"/>
      <c r="B1040" s="221"/>
      <c r="C1040" s="222" t="s">
        <v>161</v>
      </c>
      <c r="D1040" s="210" t="s">
        <v>88</v>
      </c>
      <c r="E1040" s="212">
        <v>9</v>
      </c>
      <c r="F1040" s="212">
        <v>61914</v>
      </c>
      <c r="G1040" s="212">
        <v>557226</v>
      </c>
      <c r="H1040" s="212">
        <v>1627</v>
      </c>
      <c r="I1040" s="212">
        <v>14643</v>
      </c>
      <c r="J1040" s="212">
        <v>542583</v>
      </c>
    </row>
    <row r="1041" spans="1:10" ht="14.1" customHeight="1" x14ac:dyDescent="0.15">
      <c r="A1041" s="221"/>
      <c r="B1041" s="221"/>
      <c r="C1041" s="221"/>
      <c r="D1041" s="210" t="s">
        <v>101</v>
      </c>
      <c r="E1041" s="212">
        <v>192</v>
      </c>
      <c r="F1041" s="212">
        <v>45688</v>
      </c>
      <c r="G1041" s="212">
        <v>8772096</v>
      </c>
      <c r="H1041" s="212">
        <v>1627</v>
      </c>
      <c r="I1041" s="212">
        <v>312384</v>
      </c>
      <c r="J1041" s="212">
        <v>8459712</v>
      </c>
    </row>
    <row r="1042" spans="1:10" ht="14.1" customHeight="1" x14ac:dyDescent="0.15">
      <c r="A1042" s="221"/>
      <c r="B1042" s="221"/>
      <c r="C1042" s="221"/>
      <c r="D1042" s="210" t="s">
        <v>79</v>
      </c>
      <c r="E1042" s="212">
        <v>2080</v>
      </c>
      <c r="F1042" s="212">
        <v>27613</v>
      </c>
      <c r="G1042" s="212">
        <v>57435040</v>
      </c>
      <c r="H1042" s="212">
        <v>1627</v>
      </c>
      <c r="I1042" s="212">
        <v>3384160</v>
      </c>
      <c r="J1042" s="212">
        <v>54050880</v>
      </c>
    </row>
    <row r="1043" spans="1:10" ht="14.1" customHeight="1" x14ac:dyDescent="0.15">
      <c r="A1043" s="221"/>
      <c r="B1043" s="221"/>
      <c r="C1043" s="221"/>
      <c r="D1043" s="210" t="s">
        <v>73</v>
      </c>
      <c r="E1043" s="212">
        <v>3318</v>
      </c>
      <c r="F1043" s="212">
        <v>13829</v>
      </c>
      <c r="G1043" s="212">
        <v>45884622</v>
      </c>
      <c r="H1043" s="212">
        <v>1627</v>
      </c>
      <c r="I1043" s="212">
        <v>5398386</v>
      </c>
      <c r="J1043" s="212">
        <v>40486236</v>
      </c>
    </row>
    <row r="1044" spans="1:10" ht="14.1" customHeight="1" x14ac:dyDescent="0.15">
      <c r="A1044" s="221"/>
      <c r="B1044" s="221"/>
      <c r="C1044" s="221"/>
      <c r="D1044" s="210" t="s">
        <v>74</v>
      </c>
      <c r="E1044" s="212">
        <v>4559</v>
      </c>
      <c r="F1044" s="212">
        <v>10742</v>
      </c>
      <c r="G1044" s="212">
        <v>48972778</v>
      </c>
      <c r="H1044" s="212">
        <v>1627</v>
      </c>
      <c r="I1044" s="212">
        <v>7417493</v>
      </c>
      <c r="J1044" s="212">
        <v>41555285</v>
      </c>
    </row>
    <row r="1045" spans="1:10" ht="14.1" customHeight="1" x14ac:dyDescent="0.15">
      <c r="A1045" s="221"/>
      <c r="B1045" s="221"/>
      <c r="C1045" s="221"/>
      <c r="D1045" s="210" t="s">
        <v>71</v>
      </c>
      <c r="E1045" s="212">
        <v>7536</v>
      </c>
      <c r="F1045" s="212">
        <v>7530</v>
      </c>
      <c r="G1045" s="212">
        <v>56746080</v>
      </c>
      <c r="H1045" s="212">
        <v>1627</v>
      </c>
      <c r="I1045" s="212">
        <v>12261072</v>
      </c>
      <c r="J1045" s="212">
        <v>44485008</v>
      </c>
    </row>
    <row r="1046" spans="1:10" ht="14.1" customHeight="1" x14ac:dyDescent="0.15">
      <c r="A1046" s="221"/>
      <c r="B1046" s="221"/>
      <c r="C1046" s="221"/>
      <c r="D1046" s="210" t="s">
        <v>72</v>
      </c>
      <c r="E1046" s="212">
        <v>414</v>
      </c>
      <c r="F1046" s="212">
        <v>4953</v>
      </c>
      <c r="G1046" s="212">
        <v>2050542</v>
      </c>
      <c r="H1046" s="212">
        <v>1627</v>
      </c>
      <c r="I1046" s="212">
        <v>673578</v>
      </c>
      <c r="J1046" s="212">
        <v>1376964</v>
      </c>
    </row>
    <row r="1047" spans="1:10" ht="14.1" customHeight="1" x14ac:dyDescent="0.15">
      <c r="A1047" s="221"/>
      <c r="B1047" s="221"/>
      <c r="C1047" s="221"/>
      <c r="D1047" s="210" t="s">
        <v>82</v>
      </c>
      <c r="E1047" s="212">
        <v>228</v>
      </c>
      <c r="F1047" s="212">
        <v>3112</v>
      </c>
      <c r="G1047" s="212">
        <v>709536</v>
      </c>
      <c r="H1047" s="212">
        <v>1627</v>
      </c>
      <c r="I1047" s="212">
        <v>370956</v>
      </c>
      <c r="J1047" s="212">
        <v>338580</v>
      </c>
    </row>
    <row r="1048" spans="1:10" ht="14.1" customHeight="1" x14ac:dyDescent="0.15">
      <c r="A1048" s="221"/>
      <c r="B1048" s="221"/>
      <c r="C1048" s="221"/>
      <c r="D1048" s="210" t="s">
        <v>75</v>
      </c>
      <c r="E1048" s="212">
        <v>534</v>
      </c>
      <c r="F1048" s="212">
        <v>1907</v>
      </c>
      <c r="G1048" s="212">
        <v>1018338</v>
      </c>
      <c r="H1048" s="212">
        <v>1627</v>
      </c>
      <c r="I1048" s="212">
        <v>868818</v>
      </c>
      <c r="J1048" s="212">
        <v>149520</v>
      </c>
    </row>
    <row r="1049" spans="1:10" ht="29.1" customHeight="1" x14ac:dyDescent="0.15">
      <c r="A1049" s="222" t="s">
        <v>218</v>
      </c>
      <c r="B1049" s="221" t="s">
        <v>53</v>
      </c>
      <c r="C1049" s="221"/>
      <c r="D1049" s="221"/>
      <c r="E1049" s="212">
        <v>8122</v>
      </c>
      <c r="F1049" s="212">
        <v>560196</v>
      </c>
      <c r="G1049" s="212">
        <v>116490765</v>
      </c>
      <c r="H1049" s="212"/>
      <c r="I1049" s="212">
        <v>7664899</v>
      </c>
      <c r="J1049" s="212">
        <v>108825866</v>
      </c>
    </row>
    <row r="1050" spans="1:10" ht="14.1" customHeight="1" x14ac:dyDescent="0.15">
      <c r="A1050" s="221"/>
      <c r="B1050" s="210" t="s">
        <v>63</v>
      </c>
      <c r="C1050" s="210" t="s">
        <v>64</v>
      </c>
      <c r="D1050" s="210" t="s">
        <v>65</v>
      </c>
      <c r="E1050" s="218">
        <v>1</v>
      </c>
      <c r="F1050" s="218">
        <v>10139</v>
      </c>
      <c r="G1050" s="218">
        <v>10139</v>
      </c>
      <c r="H1050" s="218">
        <v>0</v>
      </c>
      <c r="I1050" s="218">
        <v>0</v>
      </c>
      <c r="J1050" s="218">
        <v>10139</v>
      </c>
    </row>
    <row r="1051" spans="1:10" ht="14.1" customHeight="1" x14ac:dyDescent="0.15">
      <c r="A1051" s="221"/>
      <c r="B1051" s="220" t="s">
        <v>66</v>
      </c>
      <c r="C1051" s="211" t="s">
        <v>67</v>
      </c>
      <c r="D1051" s="210" t="s">
        <v>132</v>
      </c>
      <c r="E1051" s="219"/>
      <c r="F1051" s="219"/>
      <c r="G1051" s="219"/>
      <c r="H1051" s="219"/>
      <c r="I1051" s="219"/>
      <c r="J1051" s="219"/>
    </row>
    <row r="1052" spans="1:10" ht="29.1" customHeight="1" x14ac:dyDescent="0.15">
      <c r="A1052" s="221"/>
      <c r="B1052" s="221"/>
      <c r="C1052" s="209" t="s">
        <v>159</v>
      </c>
      <c r="D1052" s="210" t="s">
        <v>133</v>
      </c>
      <c r="E1052" s="212">
        <v>1</v>
      </c>
      <c r="F1052" s="212">
        <v>11560</v>
      </c>
      <c r="G1052" s="212">
        <v>11560</v>
      </c>
      <c r="H1052" s="212">
        <v>2346</v>
      </c>
      <c r="I1052" s="212">
        <v>2346</v>
      </c>
      <c r="J1052" s="212">
        <v>9214</v>
      </c>
    </row>
    <row r="1053" spans="1:10" ht="29.1" customHeight="1" x14ac:dyDescent="0.15">
      <c r="A1053" s="221"/>
      <c r="B1053" s="221"/>
      <c r="C1053" s="209" t="s">
        <v>161</v>
      </c>
      <c r="D1053" s="210" t="s">
        <v>133</v>
      </c>
      <c r="E1053" s="212">
        <v>269</v>
      </c>
      <c r="F1053" s="212">
        <v>10841</v>
      </c>
      <c r="G1053" s="212">
        <v>2916229</v>
      </c>
      <c r="H1053" s="212">
        <v>1627</v>
      </c>
      <c r="I1053" s="212">
        <v>437663</v>
      </c>
      <c r="J1053" s="212">
        <v>2478566</v>
      </c>
    </row>
    <row r="1054" spans="1:10" ht="29.1" customHeight="1" x14ac:dyDescent="0.15">
      <c r="A1054" s="221"/>
      <c r="B1054" s="222" t="s">
        <v>167</v>
      </c>
      <c r="C1054" s="223" t="s">
        <v>67</v>
      </c>
      <c r="D1054" s="210" t="s">
        <v>145</v>
      </c>
      <c r="E1054" s="212">
        <v>1</v>
      </c>
      <c r="F1054" s="212">
        <v>26911</v>
      </c>
      <c r="G1054" s="212">
        <v>26911</v>
      </c>
      <c r="H1054" s="212">
        <v>0</v>
      </c>
      <c r="I1054" s="212">
        <v>0</v>
      </c>
      <c r="J1054" s="212">
        <v>26911</v>
      </c>
    </row>
    <row r="1055" spans="1:10" ht="14.1" customHeight="1" x14ac:dyDescent="0.15">
      <c r="A1055" s="221"/>
      <c r="B1055" s="221"/>
      <c r="C1055" s="221"/>
      <c r="D1055" s="210" t="s">
        <v>85</v>
      </c>
      <c r="E1055" s="212">
        <v>6</v>
      </c>
      <c r="F1055" s="212">
        <v>26911</v>
      </c>
      <c r="G1055" s="212">
        <v>161466</v>
      </c>
      <c r="H1055" s="212">
        <v>0</v>
      </c>
      <c r="I1055" s="212">
        <v>0</v>
      </c>
      <c r="J1055" s="212">
        <v>161466</v>
      </c>
    </row>
    <row r="1056" spans="1:10" ht="14.1" customHeight="1" x14ac:dyDescent="0.15">
      <c r="A1056" s="221"/>
      <c r="B1056" s="221"/>
      <c r="C1056" s="221"/>
      <c r="D1056" s="210" t="s">
        <v>141</v>
      </c>
      <c r="E1056" s="212">
        <v>1</v>
      </c>
      <c r="F1056" s="212">
        <v>13127</v>
      </c>
      <c r="G1056" s="212">
        <v>13127</v>
      </c>
      <c r="H1056" s="212">
        <v>0</v>
      </c>
      <c r="I1056" s="212">
        <v>0</v>
      </c>
      <c r="J1056" s="212">
        <v>13127</v>
      </c>
    </row>
    <row r="1057" spans="1:10" ht="14.1" customHeight="1" x14ac:dyDescent="0.15">
      <c r="A1057" s="221"/>
      <c r="B1057" s="221"/>
      <c r="C1057" s="221"/>
      <c r="D1057" s="210" t="s">
        <v>78</v>
      </c>
      <c r="E1057" s="212">
        <v>2</v>
      </c>
      <c r="F1057" s="212">
        <v>13127</v>
      </c>
      <c r="G1057" s="212">
        <v>26254</v>
      </c>
      <c r="H1057" s="212">
        <v>0</v>
      </c>
      <c r="I1057" s="212">
        <v>0</v>
      </c>
      <c r="J1057" s="212">
        <v>26254</v>
      </c>
    </row>
    <row r="1058" spans="1:10" ht="14.1" customHeight="1" x14ac:dyDescent="0.15">
      <c r="A1058" s="221"/>
      <c r="B1058" s="221"/>
      <c r="C1058" s="221"/>
      <c r="D1058" s="210" t="s">
        <v>136</v>
      </c>
      <c r="E1058" s="212">
        <v>11</v>
      </c>
      <c r="F1058" s="212">
        <v>6828</v>
      </c>
      <c r="G1058" s="212">
        <v>75108</v>
      </c>
      <c r="H1058" s="212">
        <v>0</v>
      </c>
      <c r="I1058" s="212">
        <v>0</v>
      </c>
      <c r="J1058" s="212">
        <v>75108</v>
      </c>
    </row>
    <row r="1059" spans="1:10" ht="14.1" customHeight="1" x14ac:dyDescent="0.15">
      <c r="A1059" s="221"/>
      <c r="B1059" s="221"/>
      <c r="C1059" s="221"/>
      <c r="D1059" s="210" t="s">
        <v>77</v>
      </c>
      <c r="E1059" s="212">
        <v>24</v>
      </c>
      <c r="F1059" s="212">
        <v>6828</v>
      </c>
      <c r="G1059" s="212">
        <v>163872</v>
      </c>
      <c r="H1059" s="212">
        <v>0</v>
      </c>
      <c r="I1059" s="212">
        <v>0</v>
      </c>
      <c r="J1059" s="212">
        <v>163872</v>
      </c>
    </row>
    <row r="1060" spans="1:10" ht="14.1" customHeight="1" x14ac:dyDescent="0.15">
      <c r="A1060" s="221"/>
      <c r="B1060" s="221"/>
      <c r="C1060" s="221"/>
      <c r="D1060" s="210" t="s">
        <v>148</v>
      </c>
      <c r="E1060" s="212">
        <v>1</v>
      </c>
      <c r="F1060" s="212">
        <v>1205</v>
      </c>
      <c r="G1060" s="212">
        <v>1205</v>
      </c>
      <c r="H1060" s="212">
        <v>0</v>
      </c>
      <c r="I1060" s="212">
        <v>0</v>
      </c>
      <c r="J1060" s="212">
        <v>1205</v>
      </c>
    </row>
    <row r="1061" spans="1:10" ht="29.1" customHeight="1" x14ac:dyDescent="0.15">
      <c r="A1061" s="221"/>
      <c r="B1061" s="221"/>
      <c r="C1061" s="222" t="s">
        <v>159</v>
      </c>
      <c r="D1061" s="210" t="s">
        <v>79</v>
      </c>
      <c r="E1061" s="212">
        <v>10</v>
      </c>
      <c r="F1061" s="212">
        <v>28332</v>
      </c>
      <c r="G1061" s="212">
        <v>283320</v>
      </c>
      <c r="H1061" s="212">
        <v>1421</v>
      </c>
      <c r="I1061" s="212">
        <v>14210</v>
      </c>
      <c r="J1061" s="212">
        <v>269110</v>
      </c>
    </row>
    <row r="1062" spans="1:10" ht="14.1" customHeight="1" x14ac:dyDescent="0.15">
      <c r="A1062" s="221"/>
      <c r="B1062" s="221"/>
      <c r="C1062" s="221"/>
      <c r="D1062" s="210" t="s">
        <v>73</v>
      </c>
      <c r="E1062" s="212">
        <v>3</v>
      </c>
      <c r="F1062" s="212">
        <v>14548</v>
      </c>
      <c r="G1062" s="212">
        <v>43644</v>
      </c>
      <c r="H1062" s="212">
        <v>1421</v>
      </c>
      <c r="I1062" s="212">
        <v>4263</v>
      </c>
      <c r="J1062" s="212">
        <v>39381</v>
      </c>
    </row>
    <row r="1063" spans="1:10" ht="14.1" customHeight="1" x14ac:dyDescent="0.15">
      <c r="A1063" s="221"/>
      <c r="B1063" s="221"/>
      <c r="C1063" s="221"/>
      <c r="D1063" s="210" t="s">
        <v>71</v>
      </c>
      <c r="E1063" s="212">
        <v>11</v>
      </c>
      <c r="F1063" s="212">
        <v>8249</v>
      </c>
      <c r="G1063" s="212">
        <v>90739</v>
      </c>
      <c r="H1063" s="212">
        <v>1421</v>
      </c>
      <c r="I1063" s="212">
        <v>15631</v>
      </c>
      <c r="J1063" s="212">
        <v>75108</v>
      </c>
    </row>
    <row r="1064" spans="1:10" ht="29.1" customHeight="1" x14ac:dyDescent="0.15">
      <c r="A1064" s="221"/>
      <c r="B1064" s="221"/>
      <c r="C1064" s="222" t="s">
        <v>161</v>
      </c>
      <c r="D1064" s="210" t="s">
        <v>101</v>
      </c>
      <c r="E1064" s="212">
        <v>3</v>
      </c>
      <c r="F1064" s="212">
        <v>45928</v>
      </c>
      <c r="G1064" s="212">
        <v>137783</v>
      </c>
      <c r="H1064" s="212">
        <v>702</v>
      </c>
      <c r="I1064" s="212">
        <v>2106</v>
      </c>
      <c r="J1064" s="212">
        <v>135677</v>
      </c>
    </row>
    <row r="1065" spans="1:10" ht="14.1" customHeight="1" x14ac:dyDescent="0.15">
      <c r="A1065" s="221"/>
      <c r="B1065" s="221"/>
      <c r="C1065" s="221"/>
      <c r="D1065" s="210" t="s">
        <v>79</v>
      </c>
      <c r="E1065" s="212">
        <v>1307</v>
      </c>
      <c r="F1065" s="212">
        <v>27618</v>
      </c>
      <c r="G1065" s="212">
        <v>36096662</v>
      </c>
      <c r="H1065" s="212">
        <v>702</v>
      </c>
      <c r="I1065" s="212">
        <v>917514</v>
      </c>
      <c r="J1065" s="212">
        <v>35179148</v>
      </c>
    </row>
    <row r="1066" spans="1:10" ht="14.1" customHeight="1" x14ac:dyDescent="0.15">
      <c r="A1066" s="221"/>
      <c r="B1066" s="221"/>
      <c r="C1066" s="221"/>
      <c r="D1066" s="210" t="s">
        <v>73</v>
      </c>
      <c r="E1066" s="212">
        <v>1167</v>
      </c>
      <c r="F1066" s="212">
        <v>13829</v>
      </c>
      <c r="G1066" s="212">
        <v>16138443</v>
      </c>
      <c r="H1066" s="212">
        <v>702</v>
      </c>
      <c r="I1066" s="212">
        <v>819234</v>
      </c>
      <c r="J1066" s="212">
        <v>15319209</v>
      </c>
    </row>
    <row r="1067" spans="1:10" ht="14.1" customHeight="1" x14ac:dyDescent="0.15">
      <c r="A1067" s="221"/>
      <c r="B1067" s="221"/>
      <c r="C1067" s="221"/>
      <c r="D1067" s="210" t="s">
        <v>74</v>
      </c>
      <c r="E1067" s="212">
        <v>75</v>
      </c>
      <c r="F1067" s="212">
        <v>10742</v>
      </c>
      <c r="G1067" s="212">
        <v>805650</v>
      </c>
      <c r="H1067" s="212">
        <v>702</v>
      </c>
      <c r="I1067" s="212">
        <v>52650</v>
      </c>
      <c r="J1067" s="212">
        <v>753000</v>
      </c>
    </row>
    <row r="1068" spans="1:10" ht="14.1" customHeight="1" x14ac:dyDescent="0.15">
      <c r="A1068" s="221"/>
      <c r="B1068" s="221"/>
      <c r="C1068" s="221"/>
      <c r="D1068" s="210" t="s">
        <v>71</v>
      </c>
      <c r="E1068" s="212">
        <v>3313</v>
      </c>
      <c r="F1068" s="212">
        <v>7532</v>
      </c>
      <c r="G1068" s="212">
        <v>24954080</v>
      </c>
      <c r="H1068" s="212">
        <v>702</v>
      </c>
      <c r="I1068" s="212">
        <v>2325726</v>
      </c>
      <c r="J1068" s="212">
        <v>22628354</v>
      </c>
    </row>
    <row r="1069" spans="1:10" ht="14.1" customHeight="1" x14ac:dyDescent="0.15">
      <c r="A1069" s="221"/>
      <c r="B1069" s="221"/>
      <c r="C1069" s="221"/>
      <c r="D1069" s="210" t="s">
        <v>75</v>
      </c>
      <c r="E1069" s="212">
        <v>12</v>
      </c>
      <c r="F1069" s="212">
        <v>1907</v>
      </c>
      <c r="G1069" s="212">
        <v>22884</v>
      </c>
      <c r="H1069" s="212">
        <v>702</v>
      </c>
      <c r="I1069" s="212">
        <v>8424</v>
      </c>
      <c r="J1069" s="212">
        <v>14460</v>
      </c>
    </row>
    <row r="1070" spans="1:10" ht="14.1" customHeight="1" x14ac:dyDescent="0.15">
      <c r="A1070" s="221"/>
      <c r="B1070" s="220" t="s">
        <v>168</v>
      </c>
      <c r="C1070" s="223" t="s">
        <v>67</v>
      </c>
      <c r="D1070" s="210" t="s">
        <v>145</v>
      </c>
      <c r="E1070" s="212">
        <v>3</v>
      </c>
      <c r="F1070" s="212">
        <v>26911</v>
      </c>
      <c r="G1070" s="212">
        <v>80733</v>
      </c>
      <c r="H1070" s="212">
        <v>925</v>
      </c>
      <c r="I1070" s="212">
        <v>2775</v>
      </c>
      <c r="J1070" s="212">
        <v>77958</v>
      </c>
    </row>
    <row r="1071" spans="1:10" ht="14.1" customHeight="1" x14ac:dyDescent="0.15">
      <c r="A1071" s="221"/>
      <c r="B1071" s="221"/>
      <c r="C1071" s="221"/>
      <c r="D1071" s="210" t="s">
        <v>85</v>
      </c>
      <c r="E1071" s="212">
        <v>4</v>
      </c>
      <c r="F1071" s="212">
        <v>26911</v>
      </c>
      <c r="G1071" s="212">
        <v>107644</v>
      </c>
      <c r="H1071" s="212">
        <v>925</v>
      </c>
      <c r="I1071" s="212">
        <v>3700</v>
      </c>
      <c r="J1071" s="212">
        <v>103944</v>
      </c>
    </row>
    <row r="1072" spans="1:10" ht="14.1" customHeight="1" x14ac:dyDescent="0.15">
      <c r="A1072" s="221"/>
      <c r="B1072" s="221"/>
      <c r="C1072" s="221"/>
      <c r="D1072" s="210" t="s">
        <v>141</v>
      </c>
      <c r="E1072" s="212">
        <v>1</v>
      </c>
      <c r="F1072" s="212">
        <v>13127</v>
      </c>
      <c r="G1072" s="212">
        <v>13127</v>
      </c>
      <c r="H1072" s="212">
        <v>925</v>
      </c>
      <c r="I1072" s="212">
        <v>925</v>
      </c>
      <c r="J1072" s="212">
        <v>12202</v>
      </c>
    </row>
    <row r="1073" spans="1:10" ht="14.1" customHeight="1" x14ac:dyDescent="0.15">
      <c r="A1073" s="221"/>
      <c r="B1073" s="221"/>
      <c r="C1073" s="221"/>
      <c r="D1073" s="210" t="s">
        <v>136</v>
      </c>
      <c r="E1073" s="212">
        <v>3</v>
      </c>
      <c r="F1073" s="212">
        <v>6828</v>
      </c>
      <c r="G1073" s="212">
        <v>20484</v>
      </c>
      <c r="H1073" s="212">
        <v>925</v>
      </c>
      <c r="I1073" s="212">
        <v>2775</v>
      </c>
      <c r="J1073" s="212">
        <v>17709</v>
      </c>
    </row>
    <row r="1074" spans="1:10" ht="14.1" customHeight="1" x14ac:dyDescent="0.15">
      <c r="A1074" s="221"/>
      <c r="B1074" s="221"/>
      <c r="C1074" s="221"/>
      <c r="D1074" s="210" t="s">
        <v>77</v>
      </c>
      <c r="E1074" s="212">
        <v>97</v>
      </c>
      <c r="F1074" s="212">
        <v>6828</v>
      </c>
      <c r="G1074" s="212">
        <v>662316</v>
      </c>
      <c r="H1074" s="212">
        <v>925</v>
      </c>
      <c r="I1074" s="212">
        <v>89725</v>
      </c>
      <c r="J1074" s="212">
        <v>572591</v>
      </c>
    </row>
    <row r="1075" spans="1:10" ht="29.1" customHeight="1" x14ac:dyDescent="0.15">
      <c r="A1075" s="221"/>
      <c r="B1075" s="221"/>
      <c r="C1075" s="222" t="s">
        <v>159</v>
      </c>
      <c r="D1075" s="210" t="s">
        <v>101</v>
      </c>
      <c r="E1075" s="212">
        <v>1</v>
      </c>
      <c r="F1075" s="212">
        <v>46407</v>
      </c>
      <c r="G1075" s="212">
        <v>46407</v>
      </c>
      <c r="H1075" s="212">
        <v>2346</v>
      </c>
      <c r="I1075" s="212">
        <v>2346</v>
      </c>
      <c r="J1075" s="212">
        <v>44061</v>
      </c>
    </row>
    <row r="1076" spans="1:10" ht="14.1" customHeight="1" x14ac:dyDescent="0.15">
      <c r="A1076" s="221"/>
      <c r="B1076" s="221"/>
      <c r="C1076" s="221"/>
      <c r="D1076" s="210" t="s">
        <v>79</v>
      </c>
      <c r="E1076" s="212">
        <v>30</v>
      </c>
      <c r="F1076" s="212">
        <v>28332</v>
      </c>
      <c r="G1076" s="212">
        <v>849960</v>
      </c>
      <c r="H1076" s="212">
        <v>2346</v>
      </c>
      <c r="I1076" s="212">
        <v>70380</v>
      </c>
      <c r="J1076" s="212">
        <v>779580</v>
      </c>
    </row>
    <row r="1077" spans="1:10" ht="14.1" customHeight="1" x14ac:dyDescent="0.15">
      <c r="A1077" s="221"/>
      <c r="B1077" s="221"/>
      <c r="C1077" s="221"/>
      <c r="D1077" s="210" t="s">
        <v>73</v>
      </c>
      <c r="E1077" s="212">
        <v>1</v>
      </c>
      <c r="F1077" s="212">
        <v>14548</v>
      </c>
      <c r="G1077" s="212">
        <v>14548</v>
      </c>
      <c r="H1077" s="212">
        <v>2346</v>
      </c>
      <c r="I1077" s="212">
        <v>2346</v>
      </c>
      <c r="J1077" s="212">
        <v>12202</v>
      </c>
    </row>
    <row r="1078" spans="1:10" ht="14.1" customHeight="1" x14ac:dyDescent="0.15">
      <c r="A1078" s="221"/>
      <c r="B1078" s="221"/>
      <c r="C1078" s="221"/>
      <c r="D1078" s="210" t="s">
        <v>71</v>
      </c>
      <c r="E1078" s="212">
        <v>28</v>
      </c>
      <c r="F1078" s="212">
        <v>8249</v>
      </c>
      <c r="G1078" s="212">
        <v>230972</v>
      </c>
      <c r="H1078" s="212">
        <v>2346</v>
      </c>
      <c r="I1078" s="212">
        <v>65688</v>
      </c>
      <c r="J1078" s="212">
        <v>165284</v>
      </c>
    </row>
    <row r="1079" spans="1:10" ht="29.1" customHeight="1" x14ac:dyDescent="0.15">
      <c r="A1079" s="221"/>
      <c r="B1079" s="221"/>
      <c r="C1079" s="222" t="s">
        <v>161</v>
      </c>
      <c r="D1079" s="210" t="s">
        <v>101</v>
      </c>
      <c r="E1079" s="212">
        <v>76</v>
      </c>
      <c r="F1079" s="212">
        <v>46057</v>
      </c>
      <c r="G1079" s="212">
        <v>3500329</v>
      </c>
      <c r="H1079" s="212">
        <v>1627</v>
      </c>
      <c r="I1079" s="212">
        <v>123652</v>
      </c>
      <c r="J1079" s="212">
        <v>3376677</v>
      </c>
    </row>
    <row r="1080" spans="1:10" ht="14.1" customHeight="1" x14ac:dyDescent="0.15">
      <c r="A1080" s="221"/>
      <c r="B1080" s="221"/>
      <c r="C1080" s="221"/>
      <c r="D1080" s="210" t="s">
        <v>79</v>
      </c>
      <c r="E1080" s="212">
        <v>770</v>
      </c>
      <c r="F1080" s="212">
        <v>28036</v>
      </c>
      <c r="G1080" s="212">
        <v>21587717</v>
      </c>
      <c r="H1080" s="212">
        <v>1627</v>
      </c>
      <c r="I1080" s="212">
        <v>1252790</v>
      </c>
      <c r="J1080" s="212">
        <v>20334927</v>
      </c>
    </row>
    <row r="1081" spans="1:10" ht="14.1" customHeight="1" x14ac:dyDescent="0.15">
      <c r="A1081" s="221"/>
      <c r="B1081" s="221"/>
      <c r="C1081" s="221"/>
      <c r="D1081" s="210" t="s">
        <v>73</v>
      </c>
      <c r="E1081" s="212">
        <v>85</v>
      </c>
      <c r="F1081" s="212">
        <v>14100</v>
      </c>
      <c r="G1081" s="212">
        <v>1198473</v>
      </c>
      <c r="H1081" s="212">
        <v>1627</v>
      </c>
      <c r="I1081" s="212">
        <v>138295</v>
      </c>
      <c r="J1081" s="212">
        <v>1060178</v>
      </c>
    </row>
    <row r="1082" spans="1:10" ht="14.1" customHeight="1" x14ac:dyDescent="0.15">
      <c r="A1082" s="221"/>
      <c r="B1082" s="221"/>
      <c r="C1082" s="221"/>
      <c r="D1082" s="210" t="s">
        <v>71</v>
      </c>
      <c r="E1082" s="212">
        <v>805</v>
      </c>
      <c r="F1082" s="212">
        <v>7701</v>
      </c>
      <c r="G1082" s="212">
        <v>6198979</v>
      </c>
      <c r="H1082" s="212">
        <v>1627</v>
      </c>
      <c r="I1082" s="212">
        <v>1309735</v>
      </c>
      <c r="J1082" s="212">
        <v>4889244</v>
      </c>
    </row>
    <row r="1083" spans="1:10" ht="12" customHeight="1" x14ac:dyDescent="0.15"/>
  </sheetData>
  <autoFilter ref="B1:B1083"/>
  <mergeCells count="434">
    <mergeCell ref="A1:D1"/>
    <mergeCell ref="E2:E3"/>
    <mergeCell ref="F2:F3"/>
    <mergeCell ref="G2:G3"/>
    <mergeCell ref="H2:H3"/>
    <mergeCell ref="I2:I3"/>
    <mergeCell ref="A3:A87"/>
    <mergeCell ref="C23:C38"/>
    <mergeCell ref="C39:C47"/>
    <mergeCell ref="C48:C49"/>
    <mergeCell ref="B63:B87"/>
    <mergeCell ref="C63:C73"/>
    <mergeCell ref="C74:C78"/>
    <mergeCell ref="C79:C87"/>
    <mergeCell ref="B23:B62"/>
    <mergeCell ref="C5:C6"/>
    <mergeCell ref="B10:B19"/>
    <mergeCell ref="C10:C13"/>
    <mergeCell ref="C14:C15"/>
    <mergeCell ref="C16:C19"/>
    <mergeCell ref="B20:B22"/>
    <mergeCell ref="C20:C22"/>
    <mergeCell ref="C50:C62"/>
    <mergeCell ref="J2:J3"/>
    <mergeCell ref="B3:D3"/>
    <mergeCell ref="E4:E5"/>
    <mergeCell ref="F4:F5"/>
    <mergeCell ref="G4:G5"/>
    <mergeCell ref="H4:H5"/>
    <mergeCell ref="I4:I5"/>
    <mergeCell ref="J4:J5"/>
    <mergeCell ref="B5:B9"/>
    <mergeCell ref="G139:G140"/>
    <mergeCell ref="H139:H140"/>
    <mergeCell ref="B140:B143"/>
    <mergeCell ref="C140:C141"/>
    <mergeCell ref="B144:B145"/>
    <mergeCell ref="A88:A121"/>
    <mergeCell ref="B88:D88"/>
    <mergeCell ref="B119:B121"/>
    <mergeCell ref="C119:C121"/>
    <mergeCell ref="C265:C276"/>
    <mergeCell ref="B277:B305"/>
    <mergeCell ref="C277:C290"/>
    <mergeCell ref="C291:C296"/>
    <mergeCell ref="C297:C305"/>
    <mergeCell ref="A306:A323"/>
    <mergeCell ref="B306:D306"/>
    <mergeCell ref="E307:E308"/>
    <mergeCell ref="A122:A137"/>
    <mergeCell ref="A230:A305"/>
    <mergeCell ref="B230:D230"/>
    <mergeCell ref="E231:E232"/>
    <mergeCell ref="B242:B276"/>
    <mergeCell ref="C242:C255"/>
    <mergeCell ref="C232:C233"/>
    <mergeCell ref="C144:C145"/>
    <mergeCell ref="I307:I308"/>
    <mergeCell ref="J307:J308"/>
    <mergeCell ref="F307:F308"/>
    <mergeCell ref="G307:G308"/>
    <mergeCell ref="H307:H308"/>
    <mergeCell ref="B308:B323"/>
    <mergeCell ref="C308:C311"/>
    <mergeCell ref="C312:C314"/>
    <mergeCell ref="C316:C323"/>
    <mergeCell ref="C353:C355"/>
    <mergeCell ref="C356:C363"/>
    <mergeCell ref="I325:I326"/>
    <mergeCell ref="B334:B337"/>
    <mergeCell ref="C334:C337"/>
    <mergeCell ref="B338:B363"/>
    <mergeCell ref="C338:C348"/>
    <mergeCell ref="C349:C352"/>
    <mergeCell ref="J325:J326"/>
    <mergeCell ref="H325:H326"/>
    <mergeCell ref="A693:A750"/>
    <mergeCell ref="B693:D693"/>
    <mergeCell ref="E694:E695"/>
    <mergeCell ref="F694:F695"/>
    <mergeCell ref="B703:B704"/>
    <mergeCell ref="B688:B692"/>
    <mergeCell ref="C688:C689"/>
    <mergeCell ref="C691:C692"/>
    <mergeCell ref="C695:C696"/>
    <mergeCell ref="C703:C704"/>
    <mergeCell ref="B705:B726"/>
    <mergeCell ref="C705:C713"/>
    <mergeCell ref="C714:C717"/>
    <mergeCell ref="C718:C726"/>
    <mergeCell ref="B727:B750"/>
    <mergeCell ref="C727:C737"/>
    <mergeCell ref="C738:C742"/>
    <mergeCell ref="C743:C750"/>
    <mergeCell ref="I954:I955"/>
    <mergeCell ref="J954:J955"/>
    <mergeCell ref="A897:A952"/>
    <mergeCell ref="B897:D897"/>
    <mergeCell ref="E898:E899"/>
    <mergeCell ref="F898:F899"/>
    <mergeCell ref="B820:B855"/>
    <mergeCell ref="C820:C834"/>
    <mergeCell ref="C835:C841"/>
    <mergeCell ref="C842:C846"/>
    <mergeCell ref="H898:H899"/>
    <mergeCell ref="I898:I899"/>
    <mergeCell ref="J898:J899"/>
    <mergeCell ref="B899:B902"/>
    <mergeCell ref="C899:C900"/>
    <mergeCell ref="H857:H858"/>
    <mergeCell ref="I857:I858"/>
    <mergeCell ref="J857:J858"/>
    <mergeCell ref="B903:B925"/>
    <mergeCell ref="C903:C911"/>
    <mergeCell ref="C912:C914"/>
    <mergeCell ref="C915:C925"/>
    <mergeCell ref="B926:B952"/>
    <mergeCell ref="C926:C939"/>
    <mergeCell ref="I123:I124"/>
    <mergeCell ref="J123:J124"/>
    <mergeCell ref="B124:B125"/>
    <mergeCell ref="B127:B137"/>
    <mergeCell ref="C127:C130"/>
    <mergeCell ref="C131:C132"/>
    <mergeCell ref="C134:C137"/>
    <mergeCell ref="I89:I90"/>
    <mergeCell ref="J89:J90"/>
    <mergeCell ref="B90:B93"/>
    <mergeCell ref="C90:C91"/>
    <mergeCell ref="B94:B118"/>
    <mergeCell ref="C94:C103"/>
    <mergeCell ref="C104:C109"/>
    <mergeCell ref="C111:C118"/>
    <mergeCell ref="G123:G124"/>
    <mergeCell ref="H123:H124"/>
    <mergeCell ref="E89:E90"/>
    <mergeCell ref="F89:F90"/>
    <mergeCell ref="G89:G90"/>
    <mergeCell ref="H89:H90"/>
    <mergeCell ref="I139:I140"/>
    <mergeCell ref="J139:J140"/>
    <mergeCell ref="B122:D122"/>
    <mergeCell ref="E123:E124"/>
    <mergeCell ref="F123:F124"/>
    <mergeCell ref="A212:A229"/>
    <mergeCell ref="B212:D212"/>
    <mergeCell ref="E213:E214"/>
    <mergeCell ref="F213:F214"/>
    <mergeCell ref="G213:G214"/>
    <mergeCell ref="H213:H214"/>
    <mergeCell ref="B146:B184"/>
    <mergeCell ref="C146:C159"/>
    <mergeCell ref="C160:C167"/>
    <mergeCell ref="C168:C170"/>
    <mergeCell ref="C171:C184"/>
    <mergeCell ref="B185:B211"/>
    <mergeCell ref="C185:C199"/>
    <mergeCell ref="C200:C202"/>
    <mergeCell ref="C203:C211"/>
    <mergeCell ref="A138:A211"/>
    <mergeCell ref="B138:D138"/>
    <mergeCell ref="E139:E140"/>
    <mergeCell ref="F139:F140"/>
    <mergeCell ref="I213:I214"/>
    <mergeCell ref="J213:J214"/>
    <mergeCell ref="B214:B217"/>
    <mergeCell ref="C214:C215"/>
    <mergeCell ref="B218:B229"/>
    <mergeCell ref="C218:C219"/>
    <mergeCell ref="C220:C221"/>
    <mergeCell ref="C223:C229"/>
    <mergeCell ref="C256:C263"/>
    <mergeCell ref="G231:G232"/>
    <mergeCell ref="H231:H232"/>
    <mergeCell ref="I231:I232"/>
    <mergeCell ref="J231:J232"/>
    <mergeCell ref="B232:B235"/>
    <mergeCell ref="B236:B241"/>
    <mergeCell ref="C236:C237"/>
    <mergeCell ref="C238:C239"/>
    <mergeCell ref="C240:C241"/>
    <mergeCell ref="F231:F232"/>
    <mergeCell ref="H388:H389"/>
    <mergeCell ref="I388:I389"/>
    <mergeCell ref="J388:J389"/>
    <mergeCell ref="B390:B396"/>
    <mergeCell ref="C390:C391"/>
    <mergeCell ref="C393:C396"/>
    <mergeCell ref="C380:C386"/>
    <mergeCell ref="A387:A396"/>
    <mergeCell ref="B387:D387"/>
    <mergeCell ref="E388:E389"/>
    <mergeCell ref="F388:F389"/>
    <mergeCell ref="G388:G389"/>
    <mergeCell ref="A324:A386"/>
    <mergeCell ref="B324:D324"/>
    <mergeCell ref="E325:E326"/>
    <mergeCell ref="F325:F326"/>
    <mergeCell ref="B364:B386"/>
    <mergeCell ref="C364:C373"/>
    <mergeCell ref="C374:C378"/>
    <mergeCell ref="C326:C327"/>
    <mergeCell ref="G325:G326"/>
    <mergeCell ref="B326:B329"/>
    <mergeCell ref="B330:B333"/>
    <mergeCell ref="C332:C333"/>
    <mergeCell ref="J398:J399"/>
    <mergeCell ref="B399:B401"/>
    <mergeCell ref="C399:C400"/>
    <mergeCell ref="B402:B413"/>
    <mergeCell ref="C402:C404"/>
    <mergeCell ref="C405:C407"/>
    <mergeCell ref="C408:C413"/>
    <mergeCell ref="A397:A424"/>
    <mergeCell ref="B397:D397"/>
    <mergeCell ref="E398:E399"/>
    <mergeCell ref="F398:F399"/>
    <mergeCell ref="G398:G399"/>
    <mergeCell ref="H398:H399"/>
    <mergeCell ref="B414:B424"/>
    <mergeCell ref="C414:C417"/>
    <mergeCell ref="C418:C419"/>
    <mergeCell ref="C420:C424"/>
    <mergeCell ref="I398:I399"/>
    <mergeCell ref="A425:A524"/>
    <mergeCell ref="B425:D425"/>
    <mergeCell ref="E426:E427"/>
    <mergeCell ref="F426:F427"/>
    <mergeCell ref="G426:G427"/>
    <mergeCell ref="H426:H427"/>
    <mergeCell ref="B441:B442"/>
    <mergeCell ref="C441:C442"/>
    <mergeCell ref="B443:B490"/>
    <mergeCell ref="C443:C456"/>
    <mergeCell ref="C467:C476"/>
    <mergeCell ref="C477:C490"/>
    <mergeCell ref="B491:B524"/>
    <mergeCell ref="C491:C506"/>
    <mergeCell ref="C507:C510"/>
    <mergeCell ref="C511:C515"/>
    <mergeCell ref="C516:C524"/>
    <mergeCell ref="C435:C436"/>
    <mergeCell ref="C457:C466"/>
    <mergeCell ref="I426:I427"/>
    <mergeCell ref="J426:J427"/>
    <mergeCell ref="B427:B431"/>
    <mergeCell ref="C427:C428"/>
    <mergeCell ref="B432:B440"/>
    <mergeCell ref="C432:C434"/>
    <mergeCell ref="C437:C440"/>
    <mergeCell ref="A580:A633"/>
    <mergeCell ref="B580:D580"/>
    <mergeCell ref="B582:B585"/>
    <mergeCell ref="C582:C583"/>
    <mergeCell ref="B586:B609"/>
    <mergeCell ref="C586:C595"/>
    <mergeCell ref="I526:I527"/>
    <mergeCell ref="J526:J527"/>
    <mergeCell ref="B527:B530"/>
    <mergeCell ref="C527:C528"/>
    <mergeCell ref="B531:B536"/>
    <mergeCell ref="C531:C532"/>
    <mergeCell ref="C534:C536"/>
    <mergeCell ref="A525:A579"/>
    <mergeCell ref="B525:D525"/>
    <mergeCell ref="E526:E527"/>
    <mergeCell ref="F526:F527"/>
    <mergeCell ref="G526:G527"/>
    <mergeCell ref="H526:H527"/>
    <mergeCell ref="B537:B558"/>
    <mergeCell ref="C537:C543"/>
    <mergeCell ref="C544:C547"/>
    <mergeCell ref="C549:C558"/>
    <mergeCell ref="B610:B633"/>
    <mergeCell ref="E581:E582"/>
    <mergeCell ref="F581:F582"/>
    <mergeCell ref="G581:G582"/>
    <mergeCell ref="H581:H582"/>
    <mergeCell ref="C610:C621"/>
    <mergeCell ref="C622:C624"/>
    <mergeCell ref="C625:C633"/>
    <mergeCell ref="C596:C599"/>
    <mergeCell ref="C601:C609"/>
    <mergeCell ref="I581:I582"/>
    <mergeCell ref="J581:J582"/>
    <mergeCell ref="B559:B579"/>
    <mergeCell ref="C559:C565"/>
    <mergeCell ref="C566:C571"/>
    <mergeCell ref="C572:C579"/>
    <mergeCell ref="I635:I636"/>
    <mergeCell ref="J635:J636"/>
    <mergeCell ref="B636:B642"/>
    <mergeCell ref="C638:C642"/>
    <mergeCell ref="A634:A642"/>
    <mergeCell ref="B634:D634"/>
    <mergeCell ref="E635:E636"/>
    <mergeCell ref="F635:F636"/>
    <mergeCell ref="G635:G636"/>
    <mergeCell ref="H635:H636"/>
    <mergeCell ref="C659:C660"/>
    <mergeCell ref="B646:B658"/>
    <mergeCell ref="C646:C649"/>
    <mergeCell ref="C650:C652"/>
    <mergeCell ref="I644:I645"/>
    <mergeCell ref="J644:J645"/>
    <mergeCell ref="C653:C658"/>
    <mergeCell ref="B659:B662"/>
    <mergeCell ref="C661:C662"/>
    <mergeCell ref="A663:A692"/>
    <mergeCell ref="B663:D663"/>
    <mergeCell ref="E664:E665"/>
    <mergeCell ref="B668:B687"/>
    <mergeCell ref="C668:C672"/>
    <mergeCell ref="C673:C678"/>
    <mergeCell ref="C680:C687"/>
    <mergeCell ref="A643:A662"/>
    <mergeCell ref="B643:D643"/>
    <mergeCell ref="E644:E645"/>
    <mergeCell ref="F644:F645"/>
    <mergeCell ref="G644:G645"/>
    <mergeCell ref="H644:H645"/>
    <mergeCell ref="G694:G695"/>
    <mergeCell ref="H694:H695"/>
    <mergeCell ref="I694:I695"/>
    <mergeCell ref="J694:J695"/>
    <mergeCell ref="B695:B698"/>
    <mergeCell ref="B699:B702"/>
    <mergeCell ref="C699:C700"/>
    <mergeCell ref="C701:C702"/>
    <mergeCell ref="F664:F665"/>
    <mergeCell ref="G664:G665"/>
    <mergeCell ref="H664:H665"/>
    <mergeCell ref="I664:I665"/>
    <mergeCell ref="J664:J665"/>
    <mergeCell ref="B665:B667"/>
    <mergeCell ref="C665:C666"/>
    <mergeCell ref="I752:I753"/>
    <mergeCell ref="J752:J753"/>
    <mergeCell ref="B753:B754"/>
    <mergeCell ref="A755:A855"/>
    <mergeCell ref="B755:D755"/>
    <mergeCell ref="E756:E757"/>
    <mergeCell ref="F756:F757"/>
    <mergeCell ref="G756:G757"/>
    <mergeCell ref="H756:H757"/>
    <mergeCell ref="I756:I757"/>
    <mergeCell ref="A751:A754"/>
    <mergeCell ref="B751:D751"/>
    <mergeCell ref="E752:E753"/>
    <mergeCell ref="F752:F753"/>
    <mergeCell ref="G752:G753"/>
    <mergeCell ref="H752:H753"/>
    <mergeCell ref="J756:J757"/>
    <mergeCell ref="B757:B761"/>
    <mergeCell ref="C757:C758"/>
    <mergeCell ref="B762:B763"/>
    <mergeCell ref="C762:C763"/>
    <mergeCell ref="B764:B819"/>
    <mergeCell ref="C764:C784"/>
    <mergeCell ref="C785:C794"/>
    <mergeCell ref="C795:C805"/>
    <mergeCell ref="C806:C819"/>
    <mergeCell ref="C847:C855"/>
    <mergeCell ref="A856:A896"/>
    <mergeCell ref="B856:D856"/>
    <mergeCell ref="E857:E858"/>
    <mergeCell ref="F857:F858"/>
    <mergeCell ref="G857:G858"/>
    <mergeCell ref="B886:B896"/>
    <mergeCell ref="C886:C889"/>
    <mergeCell ref="C890:C896"/>
    <mergeCell ref="B858:B860"/>
    <mergeCell ref="C858:C859"/>
    <mergeCell ref="B861:B885"/>
    <mergeCell ref="C861:C868"/>
    <mergeCell ref="C869:C874"/>
    <mergeCell ref="C876:C885"/>
    <mergeCell ref="C940:C943"/>
    <mergeCell ref="C944:C952"/>
    <mergeCell ref="G898:G899"/>
    <mergeCell ref="A953:A971"/>
    <mergeCell ref="B953:D953"/>
    <mergeCell ref="E954:E955"/>
    <mergeCell ref="F954:F955"/>
    <mergeCell ref="G954:G955"/>
    <mergeCell ref="H954:H955"/>
    <mergeCell ref="B956:B967"/>
    <mergeCell ref="C956:C958"/>
    <mergeCell ref="C959:C960"/>
    <mergeCell ref="C961:C967"/>
    <mergeCell ref="B968:B971"/>
    <mergeCell ref="C970:C971"/>
    <mergeCell ref="J973:J974"/>
    <mergeCell ref="B974:B977"/>
    <mergeCell ref="B978:B984"/>
    <mergeCell ref="C978:C979"/>
    <mergeCell ref="C980:C981"/>
    <mergeCell ref="C982:C984"/>
    <mergeCell ref="A972:A1048"/>
    <mergeCell ref="B972:D972"/>
    <mergeCell ref="E973:E974"/>
    <mergeCell ref="F973:F974"/>
    <mergeCell ref="G973:G974"/>
    <mergeCell ref="H973:H974"/>
    <mergeCell ref="B985:B986"/>
    <mergeCell ref="C985:C986"/>
    <mergeCell ref="B987:B1021"/>
    <mergeCell ref="C987:C998"/>
    <mergeCell ref="B1022:B1048"/>
    <mergeCell ref="C1022:C1034"/>
    <mergeCell ref="C1035:C1039"/>
    <mergeCell ref="C999:C1005"/>
    <mergeCell ref="C1006:C1008"/>
    <mergeCell ref="C1009:C1021"/>
    <mergeCell ref="C974:C975"/>
    <mergeCell ref="I973:I974"/>
    <mergeCell ref="A1049:A1082"/>
    <mergeCell ref="B1049:D1049"/>
    <mergeCell ref="E1050:E1051"/>
    <mergeCell ref="F1050:F1051"/>
    <mergeCell ref="G1050:G1051"/>
    <mergeCell ref="B1070:B1082"/>
    <mergeCell ref="C1070:C1074"/>
    <mergeCell ref="C1075:C1078"/>
    <mergeCell ref="C1079:C1082"/>
    <mergeCell ref="H1050:H1051"/>
    <mergeCell ref="I1050:I1051"/>
    <mergeCell ref="J1050:J1051"/>
    <mergeCell ref="B1051:B1053"/>
    <mergeCell ref="B1054:B1069"/>
    <mergeCell ref="C1054:C1060"/>
    <mergeCell ref="C1061:C1063"/>
    <mergeCell ref="C1064:C1069"/>
    <mergeCell ref="C1040:C104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1"/>
  <sheetViews>
    <sheetView workbookViewId="0">
      <selection activeCell="H2" sqref="H2:H3"/>
    </sheetView>
  </sheetViews>
  <sheetFormatPr defaultColWidth="11.42578125" defaultRowHeight="10.5" x14ac:dyDescent="0.15"/>
  <cols>
    <col min="1" max="4" width="19.28515625" style="184" customWidth="1"/>
    <col min="5" max="10" width="12.7109375" style="184" customWidth="1"/>
    <col min="11" max="16384" width="11.42578125" style="184"/>
  </cols>
  <sheetData>
    <row r="1" spans="1:10" ht="42.95" customHeight="1" x14ac:dyDescent="0.2">
      <c r="A1" s="224" t="s">
        <v>108</v>
      </c>
      <c r="B1" s="224"/>
      <c r="C1" s="224"/>
      <c r="D1" s="224"/>
      <c r="E1" s="182" t="s">
        <v>60</v>
      </c>
      <c r="F1" s="183" t="s">
        <v>109</v>
      </c>
      <c r="G1" s="183" t="s">
        <v>110</v>
      </c>
      <c r="H1" s="183" t="s">
        <v>111</v>
      </c>
      <c r="I1" s="183" t="s">
        <v>112</v>
      </c>
      <c r="J1" s="182" t="s">
        <v>61</v>
      </c>
    </row>
    <row r="2" spans="1:10" ht="14.1" customHeight="1" x14ac:dyDescent="0.15">
      <c r="A2" s="210" t="s">
        <v>62</v>
      </c>
      <c r="B2" s="210" t="s">
        <v>108</v>
      </c>
      <c r="C2" s="210" t="s">
        <v>108</v>
      </c>
      <c r="D2" s="210" t="s">
        <v>108</v>
      </c>
      <c r="E2" s="218">
        <v>80031</v>
      </c>
      <c r="F2" s="218">
        <v>1356436</v>
      </c>
      <c r="G2" s="218">
        <v>811507990</v>
      </c>
      <c r="H2" s="218"/>
      <c r="I2" s="218">
        <v>102839042</v>
      </c>
      <c r="J2" s="218">
        <v>708668948</v>
      </c>
    </row>
    <row r="3" spans="1:10" ht="14.1" customHeight="1" x14ac:dyDescent="0.15">
      <c r="A3" s="221" t="s">
        <v>1</v>
      </c>
      <c r="B3" s="221" t="s">
        <v>53</v>
      </c>
      <c r="C3" s="221"/>
      <c r="D3" s="221"/>
      <c r="E3" s="219"/>
      <c r="F3" s="219"/>
      <c r="G3" s="219"/>
      <c r="H3" s="219"/>
      <c r="I3" s="219"/>
      <c r="J3" s="219"/>
    </row>
    <row r="4" spans="1:10" ht="14.1" customHeight="1" x14ac:dyDescent="0.15">
      <c r="A4" s="221"/>
      <c r="B4" s="210" t="s">
        <v>63</v>
      </c>
      <c r="C4" s="210" t="s">
        <v>64</v>
      </c>
      <c r="D4" s="210" t="s">
        <v>65</v>
      </c>
      <c r="E4" s="218">
        <v>114</v>
      </c>
      <c r="F4" s="218">
        <v>10139</v>
      </c>
      <c r="G4" s="218">
        <v>1155846</v>
      </c>
      <c r="H4" s="218">
        <v>0</v>
      </c>
      <c r="I4" s="218">
        <v>0</v>
      </c>
      <c r="J4" s="218">
        <v>1155846</v>
      </c>
    </row>
    <row r="5" spans="1:10" ht="14.1" customHeight="1" x14ac:dyDescent="0.15">
      <c r="A5" s="221"/>
      <c r="B5" s="220" t="s">
        <v>66</v>
      </c>
      <c r="C5" s="223" t="s">
        <v>67</v>
      </c>
      <c r="D5" s="210" t="s">
        <v>134</v>
      </c>
      <c r="E5" s="219"/>
      <c r="F5" s="219"/>
      <c r="G5" s="219"/>
      <c r="H5" s="219"/>
      <c r="I5" s="219"/>
      <c r="J5" s="219"/>
    </row>
    <row r="6" spans="1:10" ht="14.1" customHeight="1" x14ac:dyDescent="0.15">
      <c r="A6" s="221"/>
      <c r="B6" s="221"/>
      <c r="C6" s="221"/>
      <c r="D6" s="210" t="s">
        <v>132</v>
      </c>
      <c r="E6" s="212">
        <v>29</v>
      </c>
      <c r="F6" s="212">
        <v>10139</v>
      </c>
      <c r="G6" s="212">
        <v>294031</v>
      </c>
      <c r="H6" s="212">
        <v>0</v>
      </c>
      <c r="I6" s="212">
        <v>0</v>
      </c>
      <c r="J6" s="212">
        <v>294031</v>
      </c>
    </row>
    <row r="7" spans="1:10" ht="29.1" customHeight="1" x14ac:dyDescent="0.15">
      <c r="A7" s="221"/>
      <c r="B7" s="221"/>
      <c r="C7" s="209" t="s">
        <v>159</v>
      </c>
      <c r="D7" s="210" t="s">
        <v>133</v>
      </c>
      <c r="E7" s="212">
        <v>11</v>
      </c>
      <c r="F7" s="212">
        <v>11560</v>
      </c>
      <c r="G7" s="212">
        <v>127160</v>
      </c>
      <c r="H7" s="212">
        <v>3706</v>
      </c>
      <c r="I7" s="212">
        <v>40771</v>
      </c>
      <c r="J7" s="212">
        <v>86389</v>
      </c>
    </row>
    <row r="8" spans="1:10" ht="29.1" customHeight="1" x14ac:dyDescent="0.15">
      <c r="A8" s="221"/>
      <c r="B8" s="221"/>
      <c r="C8" s="209" t="s">
        <v>160</v>
      </c>
      <c r="D8" s="210" t="s">
        <v>133</v>
      </c>
      <c r="E8" s="212">
        <v>44</v>
      </c>
      <c r="F8" s="212">
        <v>11506</v>
      </c>
      <c r="G8" s="212">
        <v>506264</v>
      </c>
      <c r="H8" s="212">
        <v>2292</v>
      </c>
      <c r="I8" s="212">
        <v>100848</v>
      </c>
      <c r="J8" s="212">
        <v>405416</v>
      </c>
    </row>
    <row r="9" spans="1:10" ht="29.1" customHeight="1" x14ac:dyDescent="0.15">
      <c r="A9" s="221"/>
      <c r="B9" s="221"/>
      <c r="C9" s="209" t="s">
        <v>161</v>
      </c>
      <c r="D9" s="210" t="s">
        <v>133</v>
      </c>
      <c r="E9" s="212">
        <v>5636</v>
      </c>
      <c r="F9" s="212">
        <v>10841</v>
      </c>
      <c r="G9" s="212">
        <v>61099876</v>
      </c>
      <c r="H9" s="212">
        <v>1630</v>
      </c>
      <c r="I9" s="212">
        <v>9186875</v>
      </c>
      <c r="J9" s="212">
        <v>51913001</v>
      </c>
    </row>
    <row r="10" spans="1:10" ht="14.1" customHeight="1" x14ac:dyDescent="0.15">
      <c r="A10" s="221"/>
      <c r="B10" s="220" t="s">
        <v>76</v>
      </c>
      <c r="C10" s="223" t="s">
        <v>67</v>
      </c>
      <c r="D10" s="210" t="s">
        <v>78</v>
      </c>
      <c r="E10" s="212">
        <v>4</v>
      </c>
      <c r="F10" s="212">
        <v>13127</v>
      </c>
      <c r="G10" s="212">
        <v>52508</v>
      </c>
      <c r="H10" s="212">
        <v>0</v>
      </c>
      <c r="I10" s="212">
        <v>0</v>
      </c>
      <c r="J10" s="212">
        <v>52508</v>
      </c>
    </row>
    <row r="11" spans="1:10" ht="14.1" customHeight="1" x14ac:dyDescent="0.15">
      <c r="A11" s="221"/>
      <c r="B11" s="221"/>
      <c r="C11" s="221"/>
      <c r="D11" s="210" t="s">
        <v>136</v>
      </c>
      <c r="E11" s="212">
        <v>8</v>
      </c>
      <c r="F11" s="212">
        <v>6828</v>
      </c>
      <c r="G11" s="212">
        <v>54624</v>
      </c>
      <c r="H11" s="212">
        <v>0</v>
      </c>
      <c r="I11" s="212">
        <v>0</v>
      </c>
      <c r="J11" s="212">
        <v>54624</v>
      </c>
    </row>
    <row r="12" spans="1:10" ht="14.1" customHeight="1" x14ac:dyDescent="0.15">
      <c r="A12" s="221"/>
      <c r="B12" s="221"/>
      <c r="C12" s="221"/>
      <c r="D12" s="210" t="s">
        <v>77</v>
      </c>
      <c r="E12" s="212">
        <v>3</v>
      </c>
      <c r="F12" s="212">
        <v>6828</v>
      </c>
      <c r="G12" s="212">
        <v>20484</v>
      </c>
      <c r="H12" s="212">
        <v>0</v>
      </c>
      <c r="I12" s="212">
        <v>0</v>
      </c>
      <c r="J12" s="212">
        <v>20484</v>
      </c>
    </row>
    <row r="13" spans="1:10" ht="14.1" customHeight="1" x14ac:dyDescent="0.15">
      <c r="A13" s="221"/>
      <c r="B13" s="221"/>
      <c r="C13" s="221"/>
      <c r="D13" s="210" t="s">
        <v>135</v>
      </c>
      <c r="E13" s="212">
        <v>1</v>
      </c>
      <c r="F13" s="212">
        <v>6949</v>
      </c>
      <c r="G13" s="212">
        <v>6949</v>
      </c>
      <c r="H13" s="212">
        <v>0</v>
      </c>
      <c r="I13" s="212">
        <v>0</v>
      </c>
      <c r="J13" s="212">
        <v>6949</v>
      </c>
    </row>
    <row r="14" spans="1:10" ht="29.1" customHeight="1" x14ac:dyDescent="0.15">
      <c r="A14" s="221"/>
      <c r="B14" s="221"/>
      <c r="C14" s="222" t="s">
        <v>159</v>
      </c>
      <c r="D14" s="210" t="s">
        <v>73</v>
      </c>
      <c r="E14" s="212">
        <v>20</v>
      </c>
      <c r="F14" s="212">
        <v>14548</v>
      </c>
      <c r="G14" s="212">
        <v>290960</v>
      </c>
      <c r="H14" s="212">
        <v>7472</v>
      </c>
      <c r="I14" s="212">
        <v>149438</v>
      </c>
      <c r="J14" s="212">
        <v>141522</v>
      </c>
    </row>
    <row r="15" spans="1:10" ht="14.1" customHeight="1" x14ac:dyDescent="0.15">
      <c r="A15" s="221"/>
      <c r="B15" s="221"/>
      <c r="C15" s="221"/>
      <c r="D15" s="210" t="s">
        <v>71</v>
      </c>
      <c r="E15" s="212">
        <v>7</v>
      </c>
      <c r="F15" s="212">
        <v>8249</v>
      </c>
      <c r="G15" s="212">
        <v>57743</v>
      </c>
      <c r="H15" s="212">
        <v>1421</v>
      </c>
      <c r="I15" s="212">
        <v>9947</v>
      </c>
      <c r="J15" s="212">
        <v>47796</v>
      </c>
    </row>
    <row r="16" spans="1:10" ht="14.1" customHeight="1" x14ac:dyDescent="0.15">
      <c r="A16" s="221"/>
      <c r="B16" s="221"/>
      <c r="C16" s="221"/>
      <c r="D16" s="210" t="s">
        <v>91</v>
      </c>
      <c r="E16" s="212">
        <v>299</v>
      </c>
      <c r="F16" s="212">
        <v>8370</v>
      </c>
      <c r="G16" s="212">
        <v>2502630</v>
      </c>
      <c r="H16" s="212">
        <v>1421</v>
      </c>
      <c r="I16" s="212">
        <v>424879</v>
      </c>
      <c r="J16" s="212">
        <v>2077751</v>
      </c>
    </row>
    <row r="17" spans="1:10" ht="29.1" customHeight="1" x14ac:dyDescent="0.15">
      <c r="A17" s="221"/>
      <c r="B17" s="221"/>
      <c r="C17" s="222" t="s">
        <v>161</v>
      </c>
      <c r="D17" s="210" t="s">
        <v>80</v>
      </c>
      <c r="E17" s="212">
        <v>2</v>
      </c>
      <c r="F17" s="212">
        <v>14027</v>
      </c>
      <c r="G17" s="212">
        <v>28054</v>
      </c>
      <c r="H17" s="212">
        <v>6951</v>
      </c>
      <c r="I17" s="212">
        <v>13902</v>
      </c>
      <c r="J17" s="212">
        <v>14152</v>
      </c>
    </row>
    <row r="18" spans="1:10" ht="14.1" customHeight="1" x14ac:dyDescent="0.15">
      <c r="A18" s="221"/>
      <c r="B18" s="221"/>
      <c r="C18" s="221"/>
      <c r="D18" s="210" t="s">
        <v>73</v>
      </c>
      <c r="E18" s="212">
        <v>2839</v>
      </c>
      <c r="F18" s="212">
        <v>13829</v>
      </c>
      <c r="G18" s="212">
        <v>39260531</v>
      </c>
      <c r="H18" s="212">
        <v>6753</v>
      </c>
      <c r="I18" s="212">
        <v>19171467</v>
      </c>
      <c r="J18" s="212">
        <v>20089064</v>
      </c>
    </row>
    <row r="19" spans="1:10" ht="14.1" customHeight="1" x14ac:dyDescent="0.15">
      <c r="A19" s="221"/>
      <c r="B19" s="221"/>
      <c r="C19" s="221"/>
      <c r="D19" s="210" t="s">
        <v>71</v>
      </c>
      <c r="E19" s="212">
        <v>17232</v>
      </c>
      <c r="F19" s="212">
        <v>7530</v>
      </c>
      <c r="G19" s="212">
        <v>129756960</v>
      </c>
      <c r="H19" s="212">
        <v>702</v>
      </c>
      <c r="I19" s="212">
        <v>12096864</v>
      </c>
      <c r="J19" s="212">
        <v>117660096</v>
      </c>
    </row>
    <row r="20" spans="1:10" ht="14.1" customHeight="1" x14ac:dyDescent="0.15">
      <c r="A20" s="221"/>
      <c r="B20" s="221"/>
      <c r="C20" s="221"/>
      <c r="D20" s="210" t="s">
        <v>91</v>
      </c>
      <c r="E20" s="212">
        <v>2803</v>
      </c>
      <c r="F20" s="212">
        <v>7651</v>
      </c>
      <c r="G20" s="212">
        <v>21445753</v>
      </c>
      <c r="H20" s="212">
        <v>702</v>
      </c>
      <c r="I20" s="212">
        <v>1967706</v>
      </c>
      <c r="J20" s="212">
        <v>19478047</v>
      </c>
    </row>
    <row r="21" spans="1:10" ht="14.1" customHeight="1" x14ac:dyDescent="0.15">
      <c r="A21" s="221"/>
      <c r="B21" s="220" t="s">
        <v>162</v>
      </c>
      <c r="C21" s="223" t="s">
        <v>108</v>
      </c>
      <c r="D21" s="210" t="s">
        <v>163</v>
      </c>
      <c r="E21" s="212">
        <v>285</v>
      </c>
      <c r="F21" s="212">
        <v>23712</v>
      </c>
      <c r="G21" s="212">
        <v>6757920</v>
      </c>
      <c r="H21" s="212">
        <v>3932</v>
      </c>
      <c r="I21" s="212">
        <v>1120620</v>
      </c>
      <c r="J21" s="212">
        <v>5637300</v>
      </c>
    </row>
    <row r="22" spans="1:10" ht="14.1" customHeight="1" x14ac:dyDescent="0.15">
      <c r="A22" s="221"/>
      <c r="B22" s="221"/>
      <c r="C22" s="221"/>
      <c r="D22" s="210" t="s">
        <v>165</v>
      </c>
      <c r="E22" s="212">
        <v>373</v>
      </c>
      <c r="F22" s="212">
        <v>20422</v>
      </c>
      <c r="G22" s="212">
        <v>7617406</v>
      </c>
      <c r="H22" s="212">
        <v>3932</v>
      </c>
      <c r="I22" s="212">
        <v>1466636</v>
      </c>
      <c r="J22" s="212">
        <v>6150770</v>
      </c>
    </row>
    <row r="23" spans="1:10" ht="14.1" customHeight="1" x14ac:dyDescent="0.15">
      <c r="A23" s="221"/>
      <c r="B23" s="221"/>
      <c r="C23" s="221"/>
      <c r="D23" s="210" t="s">
        <v>166</v>
      </c>
      <c r="E23" s="212">
        <v>1</v>
      </c>
      <c r="F23" s="212">
        <v>2853</v>
      </c>
      <c r="G23" s="212">
        <v>2853</v>
      </c>
      <c r="H23" s="212">
        <v>0</v>
      </c>
      <c r="I23" s="212">
        <v>0</v>
      </c>
      <c r="J23" s="212">
        <v>2853</v>
      </c>
    </row>
    <row r="24" spans="1:10" ht="42.95" customHeight="1" x14ac:dyDescent="0.15">
      <c r="A24" s="221"/>
      <c r="B24" s="222" t="s">
        <v>215</v>
      </c>
      <c r="C24" s="223" t="s">
        <v>67</v>
      </c>
      <c r="D24" s="210" t="s">
        <v>145</v>
      </c>
      <c r="E24" s="212">
        <v>3</v>
      </c>
      <c r="F24" s="212">
        <v>26911</v>
      </c>
      <c r="G24" s="212">
        <v>80733</v>
      </c>
      <c r="H24" s="212">
        <v>0</v>
      </c>
      <c r="I24" s="212">
        <v>0</v>
      </c>
      <c r="J24" s="212">
        <v>80733</v>
      </c>
    </row>
    <row r="25" spans="1:10" ht="14.1" customHeight="1" x14ac:dyDescent="0.15">
      <c r="A25" s="221"/>
      <c r="B25" s="221"/>
      <c r="C25" s="221"/>
      <c r="D25" s="210" t="s">
        <v>85</v>
      </c>
      <c r="E25" s="212">
        <v>23</v>
      </c>
      <c r="F25" s="212">
        <v>26911</v>
      </c>
      <c r="G25" s="212">
        <v>618953</v>
      </c>
      <c r="H25" s="212">
        <v>0</v>
      </c>
      <c r="I25" s="212">
        <v>0</v>
      </c>
      <c r="J25" s="212">
        <v>618953</v>
      </c>
    </row>
    <row r="26" spans="1:10" ht="14.1" customHeight="1" x14ac:dyDescent="0.15">
      <c r="A26" s="221"/>
      <c r="B26" s="221"/>
      <c r="C26" s="221"/>
      <c r="D26" s="210" t="s">
        <v>141</v>
      </c>
      <c r="E26" s="212">
        <v>13</v>
      </c>
      <c r="F26" s="212">
        <v>13127</v>
      </c>
      <c r="G26" s="212">
        <v>170651</v>
      </c>
      <c r="H26" s="212">
        <v>0</v>
      </c>
      <c r="I26" s="212">
        <v>0</v>
      </c>
      <c r="J26" s="212">
        <v>170651</v>
      </c>
    </row>
    <row r="27" spans="1:10" ht="14.1" customHeight="1" x14ac:dyDescent="0.15">
      <c r="A27" s="221"/>
      <c r="B27" s="221"/>
      <c r="C27" s="221"/>
      <c r="D27" s="210" t="s">
        <v>78</v>
      </c>
      <c r="E27" s="212">
        <v>85</v>
      </c>
      <c r="F27" s="212">
        <v>13127</v>
      </c>
      <c r="G27" s="212">
        <v>1115795</v>
      </c>
      <c r="H27" s="212">
        <v>0</v>
      </c>
      <c r="I27" s="212">
        <v>0</v>
      </c>
      <c r="J27" s="212">
        <v>1115795</v>
      </c>
    </row>
    <row r="28" spans="1:10" ht="14.1" customHeight="1" x14ac:dyDescent="0.15">
      <c r="A28" s="221"/>
      <c r="B28" s="221"/>
      <c r="C28" s="221"/>
      <c r="D28" s="210" t="s">
        <v>146</v>
      </c>
      <c r="E28" s="212">
        <v>14</v>
      </c>
      <c r="F28" s="212">
        <v>10040</v>
      </c>
      <c r="G28" s="212">
        <v>140560</v>
      </c>
      <c r="H28" s="212">
        <v>0</v>
      </c>
      <c r="I28" s="212">
        <v>0</v>
      </c>
      <c r="J28" s="212">
        <v>140560</v>
      </c>
    </row>
    <row r="29" spans="1:10" ht="14.1" customHeight="1" x14ac:dyDescent="0.15">
      <c r="A29" s="221"/>
      <c r="B29" s="221"/>
      <c r="C29" s="221"/>
      <c r="D29" s="210" t="s">
        <v>83</v>
      </c>
      <c r="E29" s="212">
        <v>8</v>
      </c>
      <c r="F29" s="212">
        <v>10040</v>
      </c>
      <c r="G29" s="212">
        <v>80320</v>
      </c>
      <c r="H29" s="212">
        <v>0</v>
      </c>
      <c r="I29" s="212">
        <v>0</v>
      </c>
      <c r="J29" s="212">
        <v>80320</v>
      </c>
    </row>
    <row r="30" spans="1:10" ht="14.1" customHeight="1" x14ac:dyDescent="0.15">
      <c r="A30" s="221"/>
      <c r="B30" s="221"/>
      <c r="C30" s="221"/>
      <c r="D30" s="210" t="s">
        <v>136</v>
      </c>
      <c r="E30" s="212">
        <v>9</v>
      </c>
      <c r="F30" s="212">
        <v>6828</v>
      </c>
      <c r="G30" s="212">
        <v>61452</v>
      </c>
      <c r="H30" s="212">
        <v>0</v>
      </c>
      <c r="I30" s="212">
        <v>0</v>
      </c>
      <c r="J30" s="212">
        <v>61452</v>
      </c>
    </row>
    <row r="31" spans="1:10" ht="14.1" customHeight="1" x14ac:dyDescent="0.15">
      <c r="A31" s="221"/>
      <c r="B31" s="221"/>
      <c r="C31" s="221"/>
      <c r="D31" s="210" t="s">
        <v>77</v>
      </c>
      <c r="E31" s="212">
        <v>18</v>
      </c>
      <c r="F31" s="212">
        <v>6828</v>
      </c>
      <c r="G31" s="212">
        <v>122904</v>
      </c>
      <c r="H31" s="212">
        <v>0</v>
      </c>
      <c r="I31" s="212">
        <v>0</v>
      </c>
      <c r="J31" s="212">
        <v>122904</v>
      </c>
    </row>
    <row r="32" spans="1:10" ht="14.1" customHeight="1" x14ac:dyDescent="0.15">
      <c r="A32" s="221"/>
      <c r="B32" s="221"/>
      <c r="C32" s="221"/>
      <c r="D32" s="210" t="s">
        <v>84</v>
      </c>
      <c r="E32" s="212">
        <v>1</v>
      </c>
      <c r="F32" s="212">
        <v>2410</v>
      </c>
      <c r="G32" s="212">
        <v>2410</v>
      </c>
      <c r="H32" s="212">
        <v>0</v>
      </c>
      <c r="I32" s="212">
        <v>0</v>
      </c>
      <c r="J32" s="212">
        <v>2410</v>
      </c>
    </row>
    <row r="33" spans="1:10" ht="14.1" customHeight="1" x14ac:dyDescent="0.15">
      <c r="A33" s="221"/>
      <c r="B33" s="221"/>
      <c r="C33" s="221"/>
      <c r="D33" s="210" t="s">
        <v>68</v>
      </c>
      <c r="E33" s="212">
        <v>1</v>
      </c>
      <c r="F33" s="212">
        <v>24193</v>
      </c>
      <c r="G33" s="212">
        <v>24193</v>
      </c>
      <c r="H33" s="212">
        <v>0</v>
      </c>
      <c r="I33" s="212">
        <v>0</v>
      </c>
      <c r="J33" s="212">
        <v>24193</v>
      </c>
    </row>
    <row r="34" spans="1:10" ht="14.1" customHeight="1" x14ac:dyDescent="0.15">
      <c r="A34" s="221"/>
      <c r="B34" s="221"/>
      <c r="C34" s="221"/>
      <c r="D34" s="210" t="s">
        <v>142</v>
      </c>
      <c r="E34" s="212">
        <v>2</v>
      </c>
      <c r="F34" s="212">
        <v>4097</v>
      </c>
      <c r="G34" s="212">
        <v>8194</v>
      </c>
      <c r="H34" s="212">
        <v>0</v>
      </c>
      <c r="I34" s="212">
        <v>0</v>
      </c>
      <c r="J34" s="212">
        <v>8194</v>
      </c>
    </row>
    <row r="35" spans="1:10" ht="14.1" customHeight="1" x14ac:dyDescent="0.15">
      <c r="A35" s="221"/>
      <c r="B35" s="221"/>
      <c r="C35" s="221"/>
      <c r="D35" s="210" t="s">
        <v>137</v>
      </c>
      <c r="E35" s="212">
        <v>34</v>
      </c>
      <c r="F35" s="212">
        <v>4097</v>
      </c>
      <c r="G35" s="212">
        <v>139298</v>
      </c>
      <c r="H35" s="212">
        <v>0</v>
      </c>
      <c r="I35" s="212">
        <v>0</v>
      </c>
      <c r="J35" s="212">
        <v>139298</v>
      </c>
    </row>
    <row r="36" spans="1:10" ht="14.1" customHeight="1" x14ac:dyDescent="0.15">
      <c r="A36" s="221"/>
      <c r="B36" s="221"/>
      <c r="C36" s="221"/>
      <c r="D36" s="210" t="s">
        <v>143</v>
      </c>
      <c r="E36" s="212">
        <v>43</v>
      </c>
      <c r="F36" s="212">
        <v>5103</v>
      </c>
      <c r="G36" s="212">
        <v>219429</v>
      </c>
      <c r="H36" s="212">
        <v>0</v>
      </c>
      <c r="I36" s="212">
        <v>0</v>
      </c>
      <c r="J36" s="212">
        <v>219429</v>
      </c>
    </row>
    <row r="37" spans="1:10" ht="14.1" customHeight="1" x14ac:dyDescent="0.15">
      <c r="A37" s="221"/>
      <c r="B37" s="221"/>
      <c r="C37" s="221"/>
      <c r="D37" s="210" t="s">
        <v>138</v>
      </c>
      <c r="E37" s="212">
        <v>37</v>
      </c>
      <c r="F37" s="212">
        <v>5103</v>
      </c>
      <c r="G37" s="212">
        <v>188811</v>
      </c>
      <c r="H37" s="212">
        <v>0</v>
      </c>
      <c r="I37" s="212">
        <v>0</v>
      </c>
      <c r="J37" s="212">
        <v>188811</v>
      </c>
    </row>
    <row r="38" spans="1:10" ht="29.1" customHeight="1" x14ac:dyDescent="0.15">
      <c r="A38" s="221"/>
      <c r="B38" s="221"/>
      <c r="C38" s="222" t="s">
        <v>159</v>
      </c>
      <c r="D38" s="210" t="s">
        <v>70</v>
      </c>
      <c r="E38" s="212">
        <v>84</v>
      </c>
      <c r="F38" s="212">
        <v>3986</v>
      </c>
      <c r="G38" s="212">
        <v>334824</v>
      </c>
      <c r="H38" s="212">
        <v>1421</v>
      </c>
      <c r="I38" s="212">
        <v>119364</v>
      </c>
      <c r="J38" s="212">
        <v>215460</v>
      </c>
    </row>
    <row r="39" spans="1:10" ht="14.1" customHeight="1" x14ac:dyDescent="0.15">
      <c r="A39" s="221"/>
      <c r="B39" s="221"/>
      <c r="C39" s="221"/>
      <c r="D39" s="210" t="s">
        <v>101</v>
      </c>
      <c r="E39" s="212">
        <v>1</v>
      </c>
      <c r="F39" s="212">
        <v>46407</v>
      </c>
      <c r="G39" s="212">
        <v>46407</v>
      </c>
      <c r="H39" s="212">
        <v>1421</v>
      </c>
      <c r="I39" s="212">
        <v>1421</v>
      </c>
      <c r="J39" s="212">
        <v>44986</v>
      </c>
    </row>
    <row r="40" spans="1:10" ht="14.1" customHeight="1" x14ac:dyDescent="0.15">
      <c r="A40" s="221"/>
      <c r="B40" s="221"/>
      <c r="C40" s="221"/>
      <c r="D40" s="210" t="s">
        <v>79</v>
      </c>
      <c r="E40" s="212">
        <v>59</v>
      </c>
      <c r="F40" s="212">
        <v>28332</v>
      </c>
      <c r="G40" s="212">
        <v>1671588</v>
      </c>
      <c r="H40" s="212">
        <v>1421</v>
      </c>
      <c r="I40" s="212">
        <v>83839</v>
      </c>
      <c r="J40" s="212">
        <v>1587749</v>
      </c>
    </row>
    <row r="41" spans="1:10" ht="14.1" customHeight="1" x14ac:dyDescent="0.15">
      <c r="A41" s="221"/>
      <c r="B41" s="221"/>
      <c r="C41" s="221"/>
      <c r="D41" s="210" t="s">
        <v>73</v>
      </c>
      <c r="E41" s="212">
        <v>51</v>
      </c>
      <c r="F41" s="212">
        <v>14548</v>
      </c>
      <c r="G41" s="212">
        <v>741948</v>
      </c>
      <c r="H41" s="212">
        <v>1421</v>
      </c>
      <c r="I41" s="212">
        <v>72471</v>
      </c>
      <c r="J41" s="212">
        <v>669477</v>
      </c>
    </row>
    <row r="42" spans="1:10" ht="14.1" customHeight="1" x14ac:dyDescent="0.15">
      <c r="A42" s="221"/>
      <c r="B42" s="221"/>
      <c r="C42" s="221"/>
      <c r="D42" s="210" t="s">
        <v>74</v>
      </c>
      <c r="E42" s="212">
        <v>4</v>
      </c>
      <c r="F42" s="212">
        <v>11461</v>
      </c>
      <c r="G42" s="212">
        <v>45844</v>
      </c>
      <c r="H42" s="212">
        <v>1421</v>
      </c>
      <c r="I42" s="212">
        <v>5684</v>
      </c>
      <c r="J42" s="212">
        <v>40160</v>
      </c>
    </row>
    <row r="43" spans="1:10" ht="14.1" customHeight="1" x14ac:dyDescent="0.15">
      <c r="A43" s="221"/>
      <c r="B43" s="221"/>
      <c r="C43" s="221"/>
      <c r="D43" s="210" t="s">
        <v>71</v>
      </c>
      <c r="E43" s="212">
        <v>18</v>
      </c>
      <c r="F43" s="212">
        <v>8249</v>
      </c>
      <c r="G43" s="212">
        <v>148482</v>
      </c>
      <c r="H43" s="212">
        <v>1421</v>
      </c>
      <c r="I43" s="212">
        <v>25578</v>
      </c>
      <c r="J43" s="212">
        <v>122904</v>
      </c>
    </row>
    <row r="44" spans="1:10" ht="14.1" customHeight="1" x14ac:dyDescent="0.15">
      <c r="A44" s="221"/>
      <c r="B44" s="221"/>
      <c r="C44" s="221"/>
      <c r="D44" s="210" t="s">
        <v>72</v>
      </c>
      <c r="E44" s="212">
        <v>1</v>
      </c>
      <c r="F44" s="212">
        <v>5672</v>
      </c>
      <c r="G44" s="212">
        <v>5672</v>
      </c>
      <c r="H44" s="212">
        <v>1421</v>
      </c>
      <c r="I44" s="212">
        <v>1421</v>
      </c>
      <c r="J44" s="212">
        <v>4251</v>
      </c>
    </row>
    <row r="45" spans="1:10" ht="14.1" customHeight="1" x14ac:dyDescent="0.15">
      <c r="A45" s="221"/>
      <c r="B45" s="221"/>
      <c r="C45" s="221"/>
      <c r="D45" s="210" t="s">
        <v>139</v>
      </c>
      <c r="E45" s="212">
        <v>41</v>
      </c>
      <c r="F45" s="212">
        <v>5518</v>
      </c>
      <c r="G45" s="212">
        <v>226238</v>
      </c>
      <c r="H45" s="212">
        <v>1421</v>
      </c>
      <c r="I45" s="212">
        <v>58261</v>
      </c>
      <c r="J45" s="212">
        <v>167977</v>
      </c>
    </row>
    <row r="46" spans="1:10" ht="14.1" customHeight="1" x14ac:dyDescent="0.15">
      <c r="A46" s="221"/>
      <c r="B46" s="221"/>
      <c r="C46" s="221"/>
      <c r="D46" s="210" t="s">
        <v>140</v>
      </c>
      <c r="E46" s="212">
        <v>15</v>
      </c>
      <c r="F46" s="212">
        <v>6524</v>
      </c>
      <c r="G46" s="212">
        <v>97860</v>
      </c>
      <c r="H46" s="212">
        <v>1421</v>
      </c>
      <c r="I46" s="212">
        <v>21315</v>
      </c>
      <c r="J46" s="212">
        <v>76545</v>
      </c>
    </row>
    <row r="47" spans="1:10" ht="29.1" customHeight="1" x14ac:dyDescent="0.15">
      <c r="A47" s="221"/>
      <c r="B47" s="221"/>
      <c r="C47" s="222" t="s">
        <v>160</v>
      </c>
      <c r="D47" s="210" t="s">
        <v>79</v>
      </c>
      <c r="E47" s="212">
        <v>3</v>
      </c>
      <c r="F47" s="212">
        <v>28278</v>
      </c>
      <c r="G47" s="212">
        <v>84834</v>
      </c>
      <c r="H47" s="212">
        <v>1367</v>
      </c>
      <c r="I47" s="212">
        <v>4101</v>
      </c>
      <c r="J47" s="212">
        <v>80733</v>
      </c>
    </row>
    <row r="48" spans="1:10" ht="14.1" customHeight="1" x14ac:dyDescent="0.15">
      <c r="A48" s="221"/>
      <c r="B48" s="221"/>
      <c r="C48" s="221"/>
      <c r="D48" s="210" t="s">
        <v>73</v>
      </c>
      <c r="E48" s="212">
        <v>1</v>
      </c>
      <c r="F48" s="212">
        <v>14494</v>
      </c>
      <c r="G48" s="212">
        <v>14494</v>
      </c>
      <c r="H48" s="212">
        <v>1367</v>
      </c>
      <c r="I48" s="212">
        <v>1367</v>
      </c>
      <c r="J48" s="212">
        <v>13127</v>
      </c>
    </row>
    <row r="49" spans="1:10" ht="14.1" customHeight="1" x14ac:dyDescent="0.15">
      <c r="A49" s="221"/>
      <c r="B49" s="221"/>
      <c r="C49" s="221"/>
      <c r="D49" s="210" t="s">
        <v>71</v>
      </c>
      <c r="E49" s="212">
        <v>5</v>
      </c>
      <c r="F49" s="212">
        <v>8195</v>
      </c>
      <c r="G49" s="212">
        <v>40975</v>
      </c>
      <c r="H49" s="212">
        <v>1367</v>
      </c>
      <c r="I49" s="212">
        <v>6835</v>
      </c>
      <c r="J49" s="212">
        <v>34140</v>
      </c>
    </row>
    <row r="50" spans="1:10" ht="14.1" customHeight="1" x14ac:dyDescent="0.15">
      <c r="A50" s="221"/>
      <c r="B50" s="221"/>
      <c r="C50" s="221"/>
      <c r="D50" s="210" t="s">
        <v>72</v>
      </c>
      <c r="E50" s="212">
        <v>2</v>
      </c>
      <c r="F50" s="212">
        <v>5618</v>
      </c>
      <c r="G50" s="212">
        <v>11236</v>
      </c>
      <c r="H50" s="212">
        <v>1367</v>
      </c>
      <c r="I50" s="212">
        <v>2734</v>
      </c>
      <c r="J50" s="212">
        <v>8502</v>
      </c>
    </row>
    <row r="51" spans="1:10" ht="14.1" customHeight="1" x14ac:dyDescent="0.15">
      <c r="A51" s="221"/>
      <c r="B51" s="221"/>
      <c r="C51" s="221"/>
      <c r="D51" s="210" t="s">
        <v>139</v>
      </c>
      <c r="E51" s="212">
        <v>3</v>
      </c>
      <c r="F51" s="212">
        <v>5242</v>
      </c>
      <c r="G51" s="212">
        <v>15727</v>
      </c>
      <c r="H51" s="212">
        <v>1367</v>
      </c>
      <c r="I51" s="212">
        <v>4101</v>
      </c>
      <c r="J51" s="212">
        <v>11626</v>
      </c>
    </row>
    <row r="52" spans="1:10" ht="14.1" customHeight="1" x14ac:dyDescent="0.15">
      <c r="A52" s="221"/>
      <c r="B52" s="221"/>
      <c r="C52" s="221"/>
      <c r="D52" s="210" t="s">
        <v>140</v>
      </c>
      <c r="E52" s="212">
        <v>116</v>
      </c>
      <c r="F52" s="212">
        <v>6103</v>
      </c>
      <c r="G52" s="212">
        <v>707960</v>
      </c>
      <c r="H52" s="212">
        <v>1367</v>
      </c>
      <c r="I52" s="212">
        <v>158572</v>
      </c>
      <c r="J52" s="212">
        <v>549388</v>
      </c>
    </row>
    <row r="53" spans="1:10" ht="29.1" customHeight="1" x14ac:dyDescent="0.15">
      <c r="A53" s="221"/>
      <c r="B53" s="221"/>
      <c r="C53" s="222" t="s">
        <v>161</v>
      </c>
      <c r="D53" s="210" t="s">
        <v>70</v>
      </c>
      <c r="E53" s="212">
        <v>5167</v>
      </c>
      <c r="F53" s="212">
        <v>3267</v>
      </c>
      <c r="G53" s="212">
        <v>16880589</v>
      </c>
      <c r="H53" s="212">
        <v>702</v>
      </c>
      <c r="I53" s="212">
        <v>3627234</v>
      </c>
      <c r="J53" s="212">
        <v>13253355</v>
      </c>
    </row>
    <row r="54" spans="1:10" ht="14.1" customHeight="1" x14ac:dyDescent="0.15">
      <c r="A54" s="221"/>
      <c r="B54" s="221"/>
      <c r="C54" s="221"/>
      <c r="D54" s="210" t="s">
        <v>88</v>
      </c>
      <c r="E54" s="212">
        <v>57</v>
      </c>
      <c r="F54" s="212">
        <v>61914</v>
      </c>
      <c r="G54" s="212">
        <v>3529098</v>
      </c>
      <c r="H54" s="212">
        <v>702</v>
      </c>
      <c r="I54" s="212">
        <v>40014</v>
      </c>
      <c r="J54" s="212">
        <v>3489084</v>
      </c>
    </row>
    <row r="55" spans="1:10" ht="14.1" customHeight="1" x14ac:dyDescent="0.15">
      <c r="A55" s="221"/>
      <c r="B55" s="221"/>
      <c r="C55" s="221"/>
      <c r="D55" s="210" t="s">
        <v>101</v>
      </c>
      <c r="E55" s="212">
        <v>37</v>
      </c>
      <c r="F55" s="212">
        <v>45688</v>
      </c>
      <c r="G55" s="212">
        <v>1690456</v>
      </c>
      <c r="H55" s="212">
        <v>702</v>
      </c>
      <c r="I55" s="212">
        <v>25974</v>
      </c>
      <c r="J55" s="212">
        <v>1664482</v>
      </c>
    </row>
    <row r="56" spans="1:10" ht="14.1" customHeight="1" x14ac:dyDescent="0.15">
      <c r="A56" s="221"/>
      <c r="B56" s="221"/>
      <c r="C56" s="221"/>
      <c r="D56" s="210" t="s">
        <v>79</v>
      </c>
      <c r="E56" s="212">
        <v>2867</v>
      </c>
      <c r="F56" s="212">
        <v>27613</v>
      </c>
      <c r="G56" s="212">
        <v>79166471</v>
      </c>
      <c r="H56" s="212">
        <v>702</v>
      </c>
      <c r="I56" s="212">
        <v>2012634</v>
      </c>
      <c r="J56" s="212">
        <v>77153837</v>
      </c>
    </row>
    <row r="57" spans="1:10" ht="14.1" customHeight="1" x14ac:dyDescent="0.15">
      <c r="A57" s="221"/>
      <c r="B57" s="221"/>
      <c r="C57" s="221"/>
      <c r="D57" s="210" t="s">
        <v>73</v>
      </c>
      <c r="E57" s="212">
        <v>7116</v>
      </c>
      <c r="F57" s="212">
        <v>13829</v>
      </c>
      <c r="G57" s="212">
        <v>98407164</v>
      </c>
      <c r="H57" s="212">
        <v>702</v>
      </c>
      <c r="I57" s="212">
        <v>4995432</v>
      </c>
      <c r="J57" s="212">
        <v>93411732</v>
      </c>
    </row>
    <row r="58" spans="1:10" ht="14.1" customHeight="1" x14ac:dyDescent="0.15">
      <c r="A58" s="221"/>
      <c r="B58" s="221"/>
      <c r="C58" s="221"/>
      <c r="D58" s="210" t="s">
        <v>74</v>
      </c>
      <c r="E58" s="212">
        <v>1551</v>
      </c>
      <c r="F58" s="212">
        <v>10742</v>
      </c>
      <c r="G58" s="212">
        <v>16660842</v>
      </c>
      <c r="H58" s="212">
        <v>702</v>
      </c>
      <c r="I58" s="212">
        <v>1088802</v>
      </c>
      <c r="J58" s="212">
        <v>15572040</v>
      </c>
    </row>
    <row r="59" spans="1:10" ht="14.1" customHeight="1" x14ac:dyDescent="0.15">
      <c r="A59" s="221"/>
      <c r="B59" s="221"/>
      <c r="C59" s="221"/>
      <c r="D59" s="210" t="s">
        <v>71</v>
      </c>
      <c r="E59" s="212">
        <v>1837</v>
      </c>
      <c r="F59" s="212">
        <v>7530</v>
      </c>
      <c r="G59" s="212">
        <v>13832610</v>
      </c>
      <c r="H59" s="212">
        <v>702</v>
      </c>
      <c r="I59" s="212">
        <v>1289574</v>
      </c>
      <c r="J59" s="212">
        <v>12543036</v>
      </c>
    </row>
    <row r="60" spans="1:10" ht="14.1" customHeight="1" x14ac:dyDescent="0.15">
      <c r="A60" s="221"/>
      <c r="B60" s="221"/>
      <c r="C60" s="221"/>
      <c r="D60" s="210" t="s">
        <v>72</v>
      </c>
      <c r="E60" s="212">
        <v>40</v>
      </c>
      <c r="F60" s="212">
        <v>4953</v>
      </c>
      <c r="G60" s="212">
        <v>198120</v>
      </c>
      <c r="H60" s="212">
        <v>702</v>
      </c>
      <c r="I60" s="212">
        <v>28080</v>
      </c>
      <c r="J60" s="212">
        <v>170040</v>
      </c>
    </row>
    <row r="61" spans="1:10" ht="14.1" customHeight="1" x14ac:dyDescent="0.15">
      <c r="A61" s="221"/>
      <c r="B61" s="221"/>
      <c r="C61" s="221"/>
      <c r="D61" s="210" t="s">
        <v>82</v>
      </c>
      <c r="E61" s="212">
        <v>296</v>
      </c>
      <c r="F61" s="212">
        <v>3112</v>
      </c>
      <c r="G61" s="212">
        <v>921152</v>
      </c>
      <c r="H61" s="212">
        <v>702</v>
      </c>
      <c r="I61" s="212">
        <v>207792</v>
      </c>
      <c r="J61" s="212">
        <v>713360</v>
      </c>
    </row>
    <row r="62" spans="1:10" ht="14.1" customHeight="1" x14ac:dyDescent="0.15">
      <c r="A62" s="221"/>
      <c r="B62" s="221"/>
      <c r="C62" s="221"/>
      <c r="D62" s="210" t="s">
        <v>75</v>
      </c>
      <c r="E62" s="212">
        <v>7</v>
      </c>
      <c r="F62" s="212">
        <v>1907</v>
      </c>
      <c r="G62" s="212">
        <v>13349</v>
      </c>
      <c r="H62" s="212">
        <v>702</v>
      </c>
      <c r="I62" s="212">
        <v>4914</v>
      </c>
      <c r="J62" s="212">
        <v>8435</v>
      </c>
    </row>
    <row r="63" spans="1:10" ht="14.1" customHeight="1" x14ac:dyDescent="0.15">
      <c r="A63" s="221"/>
      <c r="B63" s="221"/>
      <c r="C63" s="221"/>
      <c r="D63" s="210" t="s">
        <v>92</v>
      </c>
      <c r="E63" s="212">
        <v>1</v>
      </c>
      <c r="F63" s="212">
        <v>1244</v>
      </c>
      <c r="G63" s="212">
        <v>1244</v>
      </c>
      <c r="H63" s="212">
        <v>702</v>
      </c>
      <c r="I63" s="212">
        <v>702</v>
      </c>
      <c r="J63" s="212">
        <v>542</v>
      </c>
    </row>
    <row r="64" spans="1:10" ht="14.1" customHeight="1" x14ac:dyDescent="0.15">
      <c r="A64" s="221"/>
      <c r="B64" s="221"/>
      <c r="C64" s="221"/>
      <c r="D64" s="210" t="s">
        <v>69</v>
      </c>
      <c r="E64" s="212">
        <v>114</v>
      </c>
      <c r="F64" s="212">
        <v>24895</v>
      </c>
      <c r="G64" s="212">
        <v>2838030</v>
      </c>
      <c r="H64" s="212">
        <v>702</v>
      </c>
      <c r="I64" s="212">
        <v>80028</v>
      </c>
      <c r="J64" s="212">
        <v>2758002</v>
      </c>
    </row>
    <row r="65" spans="1:10" ht="14.1" customHeight="1" x14ac:dyDescent="0.15">
      <c r="A65" s="221"/>
      <c r="B65" s="221"/>
      <c r="C65" s="221"/>
      <c r="D65" s="210" t="s">
        <v>139</v>
      </c>
      <c r="E65" s="212">
        <v>1817</v>
      </c>
      <c r="F65" s="212">
        <v>4799</v>
      </c>
      <c r="G65" s="212">
        <v>8719783</v>
      </c>
      <c r="H65" s="212">
        <v>702</v>
      </c>
      <c r="I65" s="212">
        <v>1275534</v>
      </c>
      <c r="J65" s="212">
        <v>7444249</v>
      </c>
    </row>
    <row r="66" spans="1:10" ht="14.1" customHeight="1" x14ac:dyDescent="0.15">
      <c r="A66" s="221"/>
      <c r="B66" s="221"/>
      <c r="C66" s="221"/>
      <c r="D66" s="210" t="s">
        <v>140</v>
      </c>
      <c r="E66" s="212">
        <v>4961</v>
      </c>
      <c r="F66" s="212">
        <v>5805</v>
      </c>
      <c r="G66" s="212">
        <v>28798605</v>
      </c>
      <c r="H66" s="212">
        <v>702</v>
      </c>
      <c r="I66" s="212">
        <v>3482622</v>
      </c>
      <c r="J66" s="212">
        <v>25315983</v>
      </c>
    </row>
    <row r="67" spans="1:10" ht="14.1" customHeight="1" x14ac:dyDescent="0.15">
      <c r="A67" s="221"/>
      <c r="B67" s="220" t="s">
        <v>168</v>
      </c>
      <c r="C67" s="223" t="s">
        <v>67</v>
      </c>
      <c r="D67" s="210" t="s">
        <v>144</v>
      </c>
      <c r="E67" s="212">
        <v>1</v>
      </c>
      <c r="F67" s="212">
        <v>44986</v>
      </c>
      <c r="G67" s="212">
        <v>44986</v>
      </c>
      <c r="H67" s="212">
        <v>925</v>
      </c>
      <c r="I67" s="212">
        <v>925</v>
      </c>
      <c r="J67" s="212">
        <v>44061</v>
      </c>
    </row>
    <row r="68" spans="1:10" ht="14.1" customHeight="1" x14ac:dyDescent="0.15">
      <c r="A68" s="221"/>
      <c r="B68" s="221"/>
      <c r="C68" s="221"/>
      <c r="D68" s="210" t="s">
        <v>154</v>
      </c>
      <c r="E68" s="212">
        <v>1</v>
      </c>
      <c r="F68" s="212">
        <v>44986</v>
      </c>
      <c r="G68" s="212">
        <v>44986</v>
      </c>
      <c r="H68" s="212">
        <v>925</v>
      </c>
      <c r="I68" s="212">
        <v>925</v>
      </c>
      <c r="J68" s="212">
        <v>44061</v>
      </c>
    </row>
    <row r="69" spans="1:10" ht="14.1" customHeight="1" x14ac:dyDescent="0.15">
      <c r="A69" s="221"/>
      <c r="B69" s="221"/>
      <c r="C69" s="221"/>
      <c r="D69" s="210" t="s">
        <v>145</v>
      </c>
      <c r="E69" s="212">
        <v>25</v>
      </c>
      <c r="F69" s="212">
        <v>26911</v>
      </c>
      <c r="G69" s="212">
        <v>672775</v>
      </c>
      <c r="H69" s="212">
        <v>925</v>
      </c>
      <c r="I69" s="212">
        <v>23125</v>
      </c>
      <c r="J69" s="212">
        <v>649650</v>
      </c>
    </row>
    <row r="70" spans="1:10" ht="14.1" customHeight="1" x14ac:dyDescent="0.15">
      <c r="A70" s="221"/>
      <c r="B70" s="221"/>
      <c r="C70" s="221"/>
      <c r="D70" s="210" t="s">
        <v>85</v>
      </c>
      <c r="E70" s="212">
        <v>6</v>
      </c>
      <c r="F70" s="212">
        <v>26911</v>
      </c>
      <c r="G70" s="212">
        <v>161466</v>
      </c>
      <c r="H70" s="212">
        <v>925</v>
      </c>
      <c r="I70" s="212">
        <v>5550</v>
      </c>
      <c r="J70" s="212">
        <v>155916</v>
      </c>
    </row>
    <row r="71" spans="1:10" ht="14.1" customHeight="1" x14ac:dyDescent="0.15">
      <c r="A71" s="221"/>
      <c r="B71" s="221"/>
      <c r="C71" s="221"/>
      <c r="D71" s="210" t="s">
        <v>141</v>
      </c>
      <c r="E71" s="212">
        <v>97</v>
      </c>
      <c r="F71" s="212">
        <v>13127</v>
      </c>
      <c r="G71" s="212">
        <v>1273319</v>
      </c>
      <c r="H71" s="212">
        <v>925</v>
      </c>
      <c r="I71" s="212">
        <v>89725</v>
      </c>
      <c r="J71" s="212">
        <v>1183594</v>
      </c>
    </row>
    <row r="72" spans="1:10" ht="14.1" customHeight="1" x14ac:dyDescent="0.15">
      <c r="A72" s="221"/>
      <c r="B72" s="221"/>
      <c r="C72" s="221"/>
      <c r="D72" s="210" t="s">
        <v>78</v>
      </c>
      <c r="E72" s="212">
        <v>24</v>
      </c>
      <c r="F72" s="212">
        <v>13127</v>
      </c>
      <c r="G72" s="212">
        <v>315048</v>
      </c>
      <c r="H72" s="212">
        <v>925</v>
      </c>
      <c r="I72" s="212">
        <v>22200</v>
      </c>
      <c r="J72" s="212">
        <v>292848</v>
      </c>
    </row>
    <row r="73" spans="1:10" ht="14.1" customHeight="1" x14ac:dyDescent="0.15">
      <c r="A73" s="221"/>
      <c r="B73" s="221"/>
      <c r="C73" s="221"/>
      <c r="D73" s="210" t="s">
        <v>146</v>
      </c>
      <c r="E73" s="212">
        <v>168</v>
      </c>
      <c r="F73" s="212">
        <v>10040</v>
      </c>
      <c r="G73" s="212">
        <v>1686720</v>
      </c>
      <c r="H73" s="212">
        <v>925</v>
      </c>
      <c r="I73" s="212">
        <v>155400</v>
      </c>
      <c r="J73" s="212">
        <v>1531320</v>
      </c>
    </row>
    <row r="74" spans="1:10" ht="14.1" customHeight="1" x14ac:dyDescent="0.15">
      <c r="A74" s="221"/>
      <c r="B74" s="221"/>
      <c r="C74" s="221"/>
      <c r="D74" s="210" t="s">
        <v>83</v>
      </c>
      <c r="E74" s="212">
        <v>12</v>
      </c>
      <c r="F74" s="212">
        <v>10040</v>
      </c>
      <c r="G74" s="212">
        <v>120480</v>
      </c>
      <c r="H74" s="212">
        <v>925</v>
      </c>
      <c r="I74" s="212">
        <v>11100</v>
      </c>
      <c r="J74" s="212">
        <v>109380</v>
      </c>
    </row>
    <row r="75" spans="1:10" ht="14.1" customHeight="1" x14ac:dyDescent="0.15">
      <c r="A75" s="221"/>
      <c r="B75" s="221"/>
      <c r="C75" s="221"/>
      <c r="D75" s="210" t="s">
        <v>136</v>
      </c>
      <c r="E75" s="212">
        <v>129</v>
      </c>
      <c r="F75" s="212">
        <v>6828</v>
      </c>
      <c r="G75" s="212">
        <v>880812</v>
      </c>
      <c r="H75" s="212">
        <v>925</v>
      </c>
      <c r="I75" s="212">
        <v>119325</v>
      </c>
      <c r="J75" s="212">
        <v>761487</v>
      </c>
    </row>
    <row r="76" spans="1:10" ht="14.1" customHeight="1" x14ac:dyDescent="0.15">
      <c r="A76" s="221"/>
      <c r="B76" s="221"/>
      <c r="C76" s="221"/>
      <c r="D76" s="210" t="s">
        <v>77</v>
      </c>
      <c r="E76" s="212">
        <v>22</v>
      </c>
      <c r="F76" s="212">
        <v>6828</v>
      </c>
      <c r="G76" s="212">
        <v>150216</v>
      </c>
      <c r="H76" s="212">
        <v>925</v>
      </c>
      <c r="I76" s="212">
        <v>20350</v>
      </c>
      <c r="J76" s="212">
        <v>129866</v>
      </c>
    </row>
    <row r="77" spans="1:10" ht="14.1" customHeight="1" x14ac:dyDescent="0.15">
      <c r="A77" s="221"/>
      <c r="B77" s="221"/>
      <c r="C77" s="221"/>
      <c r="D77" s="210" t="s">
        <v>149</v>
      </c>
      <c r="E77" s="212">
        <v>2</v>
      </c>
      <c r="F77" s="212">
        <v>4251</v>
      </c>
      <c r="G77" s="212">
        <v>8502</v>
      </c>
      <c r="H77" s="212">
        <v>925</v>
      </c>
      <c r="I77" s="212">
        <v>1850</v>
      </c>
      <c r="J77" s="212">
        <v>6652</v>
      </c>
    </row>
    <row r="78" spans="1:10" ht="14.1" customHeight="1" x14ac:dyDescent="0.15">
      <c r="A78" s="221"/>
      <c r="B78" s="221"/>
      <c r="C78" s="221"/>
      <c r="D78" s="210" t="s">
        <v>86</v>
      </c>
      <c r="E78" s="212">
        <v>1</v>
      </c>
      <c r="F78" s="212">
        <v>4251</v>
      </c>
      <c r="G78" s="212">
        <v>4251</v>
      </c>
      <c r="H78" s="212">
        <v>925</v>
      </c>
      <c r="I78" s="212">
        <v>925</v>
      </c>
      <c r="J78" s="212">
        <v>3326</v>
      </c>
    </row>
    <row r="79" spans="1:10" ht="14.1" customHeight="1" x14ac:dyDescent="0.15">
      <c r="A79" s="221"/>
      <c r="B79" s="221"/>
      <c r="C79" s="221"/>
      <c r="D79" s="210" t="s">
        <v>147</v>
      </c>
      <c r="E79" s="212">
        <v>1</v>
      </c>
      <c r="F79" s="212">
        <v>2410</v>
      </c>
      <c r="G79" s="212">
        <v>2410</v>
      </c>
      <c r="H79" s="212">
        <v>925</v>
      </c>
      <c r="I79" s="212">
        <v>925</v>
      </c>
      <c r="J79" s="212">
        <v>1485</v>
      </c>
    </row>
    <row r="80" spans="1:10" ht="14.1" customHeight="1" x14ac:dyDescent="0.15">
      <c r="A80" s="221"/>
      <c r="B80" s="221"/>
      <c r="C80" s="221"/>
      <c r="D80" s="210" t="s">
        <v>84</v>
      </c>
      <c r="E80" s="212">
        <v>1</v>
      </c>
      <c r="F80" s="212">
        <v>2410</v>
      </c>
      <c r="G80" s="212">
        <v>2410</v>
      </c>
      <c r="H80" s="212">
        <v>925</v>
      </c>
      <c r="I80" s="212">
        <v>925</v>
      </c>
      <c r="J80" s="212">
        <v>1485</v>
      </c>
    </row>
    <row r="81" spans="1:10" ht="14.1" customHeight="1" x14ac:dyDescent="0.15">
      <c r="A81" s="221"/>
      <c r="B81" s="221"/>
      <c r="C81" s="221"/>
      <c r="D81" s="210" t="s">
        <v>148</v>
      </c>
      <c r="E81" s="212">
        <v>1</v>
      </c>
      <c r="F81" s="212">
        <v>1205</v>
      </c>
      <c r="G81" s="212">
        <v>1205</v>
      </c>
      <c r="H81" s="212">
        <v>925</v>
      </c>
      <c r="I81" s="212">
        <v>925</v>
      </c>
      <c r="J81" s="212">
        <v>280</v>
      </c>
    </row>
    <row r="82" spans="1:10" ht="29.1" customHeight="1" x14ac:dyDescent="0.15">
      <c r="A82" s="221"/>
      <c r="B82" s="221"/>
      <c r="C82" s="222" t="s">
        <v>159</v>
      </c>
      <c r="D82" s="210" t="s">
        <v>101</v>
      </c>
      <c r="E82" s="212">
        <v>1</v>
      </c>
      <c r="F82" s="212">
        <v>46407</v>
      </c>
      <c r="G82" s="212">
        <v>46407</v>
      </c>
      <c r="H82" s="212">
        <v>2346</v>
      </c>
      <c r="I82" s="212">
        <v>2346</v>
      </c>
      <c r="J82" s="212">
        <v>44061</v>
      </c>
    </row>
    <row r="83" spans="1:10" ht="14.1" customHeight="1" x14ac:dyDescent="0.15">
      <c r="A83" s="221"/>
      <c r="B83" s="221"/>
      <c r="C83" s="221"/>
      <c r="D83" s="210" t="s">
        <v>79</v>
      </c>
      <c r="E83" s="212">
        <v>2</v>
      </c>
      <c r="F83" s="212">
        <v>28332</v>
      </c>
      <c r="G83" s="212">
        <v>56664</v>
      </c>
      <c r="H83" s="212">
        <v>2346</v>
      </c>
      <c r="I83" s="212">
        <v>4692</v>
      </c>
      <c r="J83" s="212">
        <v>51972</v>
      </c>
    </row>
    <row r="84" spans="1:10" ht="14.1" customHeight="1" x14ac:dyDescent="0.15">
      <c r="A84" s="221"/>
      <c r="B84" s="221"/>
      <c r="C84" s="221"/>
      <c r="D84" s="210" t="s">
        <v>73</v>
      </c>
      <c r="E84" s="212">
        <v>3</v>
      </c>
      <c r="F84" s="212">
        <v>14548</v>
      </c>
      <c r="G84" s="212">
        <v>43644</v>
      </c>
      <c r="H84" s="212">
        <v>2346</v>
      </c>
      <c r="I84" s="212">
        <v>7038</v>
      </c>
      <c r="J84" s="212">
        <v>36606</v>
      </c>
    </row>
    <row r="85" spans="1:10" ht="14.1" customHeight="1" x14ac:dyDescent="0.15">
      <c r="A85" s="221"/>
      <c r="B85" s="221"/>
      <c r="C85" s="221"/>
      <c r="D85" s="210" t="s">
        <v>74</v>
      </c>
      <c r="E85" s="212">
        <v>14</v>
      </c>
      <c r="F85" s="212">
        <v>11461</v>
      </c>
      <c r="G85" s="212">
        <v>160454</v>
      </c>
      <c r="H85" s="212">
        <v>2346</v>
      </c>
      <c r="I85" s="212">
        <v>32844</v>
      </c>
      <c r="J85" s="212">
        <v>127610</v>
      </c>
    </row>
    <row r="86" spans="1:10" ht="14.1" customHeight="1" x14ac:dyDescent="0.15">
      <c r="A86" s="221"/>
      <c r="B86" s="221"/>
      <c r="C86" s="221"/>
      <c r="D86" s="210" t="s">
        <v>71</v>
      </c>
      <c r="E86" s="212">
        <v>33</v>
      </c>
      <c r="F86" s="212">
        <v>8249</v>
      </c>
      <c r="G86" s="212">
        <v>272217</v>
      </c>
      <c r="H86" s="212">
        <v>2346</v>
      </c>
      <c r="I86" s="212">
        <v>77418</v>
      </c>
      <c r="J86" s="212">
        <v>194799</v>
      </c>
    </row>
    <row r="87" spans="1:10" ht="29.1" customHeight="1" x14ac:dyDescent="0.15">
      <c r="A87" s="221"/>
      <c r="B87" s="221"/>
      <c r="C87" s="222" t="s">
        <v>160</v>
      </c>
      <c r="D87" s="210" t="s">
        <v>79</v>
      </c>
      <c r="E87" s="212">
        <v>2</v>
      </c>
      <c r="F87" s="212">
        <v>28278</v>
      </c>
      <c r="G87" s="212">
        <v>56556</v>
      </c>
      <c r="H87" s="212">
        <v>2292</v>
      </c>
      <c r="I87" s="212">
        <v>4584</v>
      </c>
      <c r="J87" s="212">
        <v>51972</v>
      </c>
    </row>
    <row r="88" spans="1:10" ht="14.1" customHeight="1" x14ac:dyDescent="0.15">
      <c r="A88" s="221"/>
      <c r="B88" s="221"/>
      <c r="C88" s="221"/>
      <c r="D88" s="210" t="s">
        <v>73</v>
      </c>
      <c r="E88" s="212">
        <v>10</v>
      </c>
      <c r="F88" s="212">
        <v>14494</v>
      </c>
      <c r="G88" s="212">
        <v>144940</v>
      </c>
      <c r="H88" s="212">
        <v>2292</v>
      </c>
      <c r="I88" s="212">
        <v>22920</v>
      </c>
      <c r="J88" s="212">
        <v>122020</v>
      </c>
    </row>
    <row r="89" spans="1:10" ht="14.1" customHeight="1" x14ac:dyDescent="0.15">
      <c r="A89" s="221"/>
      <c r="B89" s="221"/>
      <c r="C89" s="221"/>
      <c r="D89" s="210" t="s">
        <v>74</v>
      </c>
      <c r="E89" s="212">
        <v>8</v>
      </c>
      <c r="F89" s="212">
        <v>11407</v>
      </c>
      <c r="G89" s="212">
        <v>91256</v>
      </c>
      <c r="H89" s="212">
        <v>2292</v>
      </c>
      <c r="I89" s="212">
        <v>18336</v>
      </c>
      <c r="J89" s="212">
        <v>72920</v>
      </c>
    </row>
    <row r="90" spans="1:10" ht="14.1" customHeight="1" x14ac:dyDescent="0.15">
      <c r="A90" s="221"/>
      <c r="B90" s="221"/>
      <c r="C90" s="221"/>
      <c r="D90" s="210" t="s">
        <v>71</v>
      </c>
      <c r="E90" s="212">
        <v>4</v>
      </c>
      <c r="F90" s="212">
        <v>8195</v>
      </c>
      <c r="G90" s="212">
        <v>32780</v>
      </c>
      <c r="H90" s="212">
        <v>2292</v>
      </c>
      <c r="I90" s="212">
        <v>9168</v>
      </c>
      <c r="J90" s="212">
        <v>23612</v>
      </c>
    </row>
    <row r="91" spans="1:10" ht="14.1" customHeight="1" x14ac:dyDescent="0.15">
      <c r="A91" s="221"/>
      <c r="B91" s="221"/>
      <c r="C91" s="221"/>
      <c r="D91" s="210" t="s">
        <v>72</v>
      </c>
      <c r="E91" s="212">
        <v>1</v>
      </c>
      <c r="F91" s="212">
        <v>5618</v>
      </c>
      <c r="G91" s="212">
        <v>5618</v>
      </c>
      <c r="H91" s="212">
        <v>2292</v>
      </c>
      <c r="I91" s="212">
        <v>2292</v>
      </c>
      <c r="J91" s="212">
        <v>3326</v>
      </c>
    </row>
    <row r="92" spans="1:10" ht="29.1" customHeight="1" x14ac:dyDescent="0.15">
      <c r="A92" s="221"/>
      <c r="B92" s="221"/>
      <c r="C92" s="222" t="s">
        <v>161</v>
      </c>
      <c r="D92" s="210" t="s">
        <v>88</v>
      </c>
      <c r="E92" s="212">
        <v>11</v>
      </c>
      <c r="F92" s="212">
        <v>61914</v>
      </c>
      <c r="G92" s="212">
        <v>681054</v>
      </c>
      <c r="H92" s="212">
        <v>1627</v>
      </c>
      <c r="I92" s="212">
        <v>17897</v>
      </c>
      <c r="J92" s="212">
        <v>663157</v>
      </c>
    </row>
    <row r="93" spans="1:10" ht="14.1" customHeight="1" x14ac:dyDescent="0.15">
      <c r="A93" s="221"/>
      <c r="B93" s="221"/>
      <c r="C93" s="221"/>
      <c r="D93" s="210" t="s">
        <v>101</v>
      </c>
      <c r="E93" s="212">
        <v>123</v>
      </c>
      <c r="F93" s="212">
        <v>45688</v>
      </c>
      <c r="G93" s="212">
        <v>5619624</v>
      </c>
      <c r="H93" s="212">
        <v>1627</v>
      </c>
      <c r="I93" s="212">
        <v>200121</v>
      </c>
      <c r="J93" s="212">
        <v>5419503</v>
      </c>
    </row>
    <row r="94" spans="1:10" ht="14.1" customHeight="1" x14ac:dyDescent="0.15">
      <c r="A94" s="221"/>
      <c r="B94" s="221"/>
      <c r="C94" s="221"/>
      <c r="D94" s="210" t="s">
        <v>79</v>
      </c>
      <c r="E94" s="212">
        <v>1645</v>
      </c>
      <c r="F94" s="212">
        <v>27613</v>
      </c>
      <c r="G94" s="212">
        <v>45423385</v>
      </c>
      <c r="H94" s="212">
        <v>1627</v>
      </c>
      <c r="I94" s="212">
        <v>2676415</v>
      </c>
      <c r="J94" s="212">
        <v>42746970</v>
      </c>
    </row>
    <row r="95" spans="1:10" ht="14.1" customHeight="1" x14ac:dyDescent="0.15">
      <c r="A95" s="221"/>
      <c r="B95" s="221"/>
      <c r="C95" s="221"/>
      <c r="D95" s="210" t="s">
        <v>73</v>
      </c>
      <c r="E95" s="212">
        <v>3777</v>
      </c>
      <c r="F95" s="212">
        <v>13829</v>
      </c>
      <c r="G95" s="212">
        <v>52232133</v>
      </c>
      <c r="H95" s="212">
        <v>1627</v>
      </c>
      <c r="I95" s="212">
        <v>6145179</v>
      </c>
      <c r="J95" s="212">
        <v>46086954</v>
      </c>
    </row>
    <row r="96" spans="1:10" ht="14.1" customHeight="1" x14ac:dyDescent="0.15">
      <c r="A96" s="221"/>
      <c r="B96" s="221"/>
      <c r="C96" s="221"/>
      <c r="D96" s="210" t="s">
        <v>74</v>
      </c>
      <c r="E96" s="212">
        <v>7431</v>
      </c>
      <c r="F96" s="212">
        <v>10742</v>
      </c>
      <c r="G96" s="212">
        <v>79823802</v>
      </c>
      <c r="H96" s="212">
        <v>1627</v>
      </c>
      <c r="I96" s="212">
        <v>12090237</v>
      </c>
      <c r="J96" s="212">
        <v>67733565</v>
      </c>
    </row>
    <row r="97" spans="1:10" ht="14.1" customHeight="1" x14ac:dyDescent="0.15">
      <c r="A97" s="221"/>
      <c r="B97" s="221"/>
      <c r="C97" s="221"/>
      <c r="D97" s="210" t="s">
        <v>71</v>
      </c>
      <c r="E97" s="212">
        <v>9165</v>
      </c>
      <c r="F97" s="212">
        <v>7530</v>
      </c>
      <c r="G97" s="212">
        <v>69012450</v>
      </c>
      <c r="H97" s="212">
        <v>1627</v>
      </c>
      <c r="I97" s="212">
        <v>14911455</v>
      </c>
      <c r="J97" s="212">
        <v>54100995</v>
      </c>
    </row>
    <row r="98" spans="1:10" ht="14.1" customHeight="1" x14ac:dyDescent="0.15">
      <c r="A98" s="221"/>
      <c r="B98" s="221"/>
      <c r="C98" s="221"/>
      <c r="D98" s="210" t="s">
        <v>72</v>
      </c>
      <c r="E98" s="212">
        <v>181</v>
      </c>
      <c r="F98" s="212">
        <v>4953</v>
      </c>
      <c r="G98" s="212">
        <v>896493</v>
      </c>
      <c r="H98" s="212">
        <v>1627</v>
      </c>
      <c r="I98" s="212">
        <v>294487</v>
      </c>
      <c r="J98" s="212">
        <v>602006</v>
      </c>
    </row>
    <row r="99" spans="1:10" ht="14.1" customHeight="1" x14ac:dyDescent="0.15">
      <c r="A99" s="221"/>
      <c r="B99" s="221"/>
      <c r="C99" s="221"/>
      <c r="D99" s="210" t="s">
        <v>82</v>
      </c>
      <c r="E99" s="212">
        <v>37</v>
      </c>
      <c r="F99" s="212">
        <v>3112</v>
      </c>
      <c r="G99" s="212">
        <v>115144</v>
      </c>
      <c r="H99" s="212">
        <v>1627</v>
      </c>
      <c r="I99" s="212">
        <v>60199</v>
      </c>
      <c r="J99" s="212">
        <v>54945</v>
      </c>
    </row>
    <row r="100" spans="1:10" ht="14.1" customHeight="1" x14ac:dyDescent="0.15">
      <c r="A100" s="221"/>
      <c r="B100" s="221"/>
      <c r="C100" s="221"/>
      <c r="D100" s="210" t="s">
        <v>75</v>
      </c>
      <c r="E100" s="212">
        <v>818</v>
      </c>
      <c r="F100" s="212">
        <v>1907</v>
      </c>
      <c r="G100" s="212">
        <v>1559926</v>
      </c>
      <c r="H100" s="212">
        <v>1627</v>
      </c>
      <c r="I100" s="212">
        <v>1330886</v>
      </c>
      <c r="J100" s="212">
        <v>229040</v>
      </c>
    </row>
    <row r="101" spans="1:10" ht="29.1" customHeight="1" x14ac:dyDescent="0.15">
      <c r="A101" s="222" t="s">
        <v>150</v>
      </c>
      <c r="B101" s="221" t="s">
        <v>53</v>
      </c>
      <c r="C101" s="221"/>
      <c r="D101" s="221"/>
      <c r="E101" s="212">
        <v>6775</v>
      </c>
      <c r="F101" s="212">
        <v>373165</v>
      </c>
      <c r="G101" s="212">
        <v>75476174</v>
      </c>
      <c r="H101" s="212"/>
      <c r="I101" s="212">
        <v>4841264</v>
      </c>
      <c r="J101" s="212">
        <v>70634910</v>
      </c>
    </row>
    <row r="102" spans="1:10" ht="14.1" customHeight="1" x14ac:dyDescent="0.15">
      <c r="A102" s="221"/>
      <c r="B102" s="210" t="s">
        <v>63</v>
      </c>
      <c r="C102" s="210" t="s">
        <v>64</v>
      </c>
      <c r="D102" s="210" t="s">
        <v>65</v>
      </c>
      <c r="E102" s="218">
        <v>5</v>
      </c>
      <c r="F102" s="218">
        <v>10139</v>
      </c>
      <c r="G102" s="218">
        <v>50695</v>
      </c>
      <c r="H102" s="218">
        <v>0</v>
      </c>
      <c r="I102" s="218">
        <v>0</v>
      </c>
      <c r="J102" s="218">
        <v>50695</v>
      </c>
    </row>
    <row r="103" spans="1:10" ht="14.1" customHeight="1" x14ac:dyDescent="0.15">
      <c r="A103" s="221"/>
      <c r="B103" s="220" t="s">
        <v>66</v>
      </c>
      <c r="C103" s="223" t="s">
        <v>67</v>
      </c>
      <c r="D103" s="210" t="s">
        <v>134</v>
      </c>
      <c r="E103" s="219"/>
      <c r="F103" s="219"/>
      <c r="G103" s="219"/>
      <c r="H103" s="219"/>
      <c r="I103" s="219"/>
      <c r="J103" s="219"/>
    </row>
    <row r="104" spans="1:10" ht="14.1" customHeight="1" x14ac:dyDescent="0.15">
      <c r="A104" s="221"/>
      <c r="B104" s="221"/>
      <c r="C104" s="221"/>
      <c r="D104" s="210" t="s">
        <v>132</v>
      </c>
      <c r="E104" s="212">
        <v>2</v>
      </c>
      <c r="F104" s="212">
        <v>10139</v>
      </c>
      <c r="G104" s="212">
        <v>20278</v>
      </c>
      <c r="H104" s="212">
        <v>0</v>
      </c>
      <c r="I104" s="212">
        <v>0</v>
      </c>
      <c r="J104" s="212">
        <v>20278</v>
      </c>
    </row>
    <row r="105" spans="1:10" ht="29.1" customHeight="1" x14ac:dyDescent="0.15">
      <c r="A105" s="221"/>
      <c r="B105" s="221"/>
      <c r="C105" s="209" t="s">
        <v>159</v>
      </c>
      <c r="D105" s="210" t="s">
        <v>133</v>
      </c>
      <c r="E105" s="212">
        <v>29</v>
      </c>
      <c r="F105" s="212">
        <v>11560</v>
      </c>
      <c r="G105" s="212">
        <v>335240</v>
      </c>
      <c r="H105" s="212">
        <v>2346</v>
      </c>
      <c r="I105" s="212">
        <v>68034</v>
      </c>
      <c r="J105" s="212">
        <v>267206</v>
      </c>
    </row>
    <row r="106" spans="1:10" ht="29.1" customHeight="1" x14ac:dyDescent="0.15">
      <c r="A106" s="221"/>
      <c r="B106" s="221"/>
      <c r="C106" s="209" t="s">
        <v>161</v>
      </c>
      <c r="D106" s="210" t="s">
        <v>133</v>
      </c>
      <c r="E106" s="212">
        <v>2007</v>
      </c>
      <c r="F106" s="212">
        <v>10841</v>
      </c>
      <c r="G106" s="212">
        <v>21757887</v>
      </c>
      <c r="H106" s="212">
        <v>1627</v>
      </c>
      <c r="I106" s="212">
        <v>3265389</v>
      </c>
      <c r="J106" s="212">
        <v>18492498</v>
      </c>
    </row>
    <row r="107" spans="1:10" ht="42.95" customHeight="1" x14ac:dyDescent="0.15">
      <c r="A107" s="221"/>
      <c r="B107" s="222" t="s">
        <v>215</v>
      </c>
      <c r="C107" s="223" t="s">
        <v>67</v>
      </c>
      <c r="D107" s="210" t="s">
        <v>85</v>
      </c>
      <c r="E107" s="212">
        <v>1</v>
      </c>
      <c r="F107" s="212">
        <v>26911</v>
      </c>
      <c r="G107" s="212">
        <v>26911</v>
      </c>
      <c r="H107" s="212">
        <v>0</v>
      </c>
      <c r="I107" s="212">
        <v>0</v>
      </c>
      <c r="J107" s="212">
        <v>26911</v>
      </c>
    </row>
    <row r="108" spans="1:10" ht="14.1" customHeight="1" x14ac:dyDescent="0.15">
      <c r="A108" s="221"/>
      <c r="B108" s="221"/>
      <c r="C108" s="221"/>
      <c r="D108" s="210" t="s">
        <v>141</v>
      </c>
      <c r="E108" s="212">
        <v>1</v>
      </c>
      <c r="F108" s="212">
        <v>13127</v>
      </c>
      <c r="G108" s="212">
        <v>13127</v>
      </c>
      <c r="H108" s="212">
        <v>0</v>
      </c>
      <c r="I108" s="212">
        <v>0</v>
      </c>
      <c r="J108" s="212">
        <v>13127</v>
      </c>
    </row>
    <row r="109" spans="1:10" ht="14.1" customHeight="1" x14ac:dyDescent="0.15">
      <c r="A109" s="221"/>
      <c r="B109" s="221"/>
      <c r="C109" s="221"/>
      <c r="D109" s="210" t="s">
        <v>78</v>
      </c>
      <c r="E109" s="212">
        <v>1</v>
      </c>
      <c r="F109" s="212">
        <v>13127</v>
      </c>
      <c r="G109" s="212">
        <v>13127</v>
      </c>
      <c r="H109" s="212">
        <v>0</v>
      </c>
      <c r="I109" s="212">
        <v>0</v>
      </c>
      <c r="J109" s="212">
        <v>13127</v>
      </c>
    </row>
    <row r="110" spans="1:10" ht="14.1" customHeight="1" x14ac:dyDescent="0.15">
      <c r="A110" s="221"/>
      <c r="B110" s="221"/>
      <c r="C110" s="221"/>
      <c r="D110" s="210" t="s">
        <v>142</v>
      </c>
      <c r="E110" s="212">
        <v>22</v>
      </c>
      <c r="F110" s="212">
        <v>4097</v>
      </c>
      <c r="G110" s="212">
        <v>90134</v>
      </c>
      <c r="H110" s="212">
        <v>0</v>
      </c>
      <c r="I110" s="212">
        <v>0</v>
      </c>
      <c r="J110" s="212">
        <v>90134</v>
      </c>
    </row>
    <row r="111" spans="1:10" ht="14.1" customHeight="1" x14ac:dyDescent="0.15">
      <c r="A111" s="221"/>
      <c r="B111" s="221"/>
      <c r="C111" s="221"/>
      <c r="D111" s="210" t="s">
        <v>137</v>
      </c>
      <c r="E111" s="212">
        <v>2596</v>
      </c>
      <c r="F111" s="212">
        <v>4097</v>
      </c>
      <c r="G111" s="212">
        <v>10635812</v>
      </c>
      <c r="H111" s="212">
        <v>0</v>
      </c>
      <c r="I111" s="212">
        <v>0</v>
      </c>
      <c r="J111" s="212">
        <v>10635812</v>
      </c>
    </row>
    <row r="112" spans="1:10" ht="14.1" customHeight="1" x14ac:dyDescent="0.15">
      <c r="A112" s="221"/>
      <c r="B112" s="221"/>
      <c r="C112" s="221"/>
      <c r="D112" s="210" t="s">
        <v>143</v>
      </c>
      <c r="E112" s="212">
        <v>1</v>
      </c>
      <c r="F112" s="212">
        <v>5103</v>
      </c>
      <c r="G112" s="212">
        <v>5103</v>
      </c>
      <c r="H112" s="212">
        <v>0</v>
      </c>
      <c r="I112" s="212">
        <v>0</v>
      </c>
      <c r="J112" s="212">
        <v>5103</v>
      </c>
    </row>
    <row r="113" spans="1:10" ht="14.1" customHeight="1" x14ac:dyDescent="0.15">
      <c r="A113" s="221"/>
      <c r="B113" s="221"/>
      <c r="C113" s="221"/>
      <c r="D113" s="210" t="s">
        <v>138</v>
      </c>
      <c r="E113" s="212">
        <v>2</v>
      </c>
      <c r="F113" s="212">
        <v>5103</v>
      </c>
      <c r="G113" s="212">
        <v>10206</v>
      </c>
      <c r="H113" s="212">
        <v>0</v>
      </c>
      <c r="I113" s="212">
        <v>0</v>
      </c>
      <c r="J113" s="212">
        <v>10206</v>
      </c>
    </row>
    <row r="114" spans="1:10" ht="29.1" customHeight="1" x14ac:dyDescent="0.15">
      <c r="A114" s="221"/>
      <c r="B114" s="221"/>
      <c r="C114" s="222" t="s">
        <v>159</v>
      </c>
      <c r="D114" s="210" t="s">
        <v>70</v>
      </c>
      <c r="E114" s="212">
        <v>2</v>
      </c>
      <c r="F114" s="212">
        <v>3986</v>
      </c>
      <c r="G114" s="212">
        <v>7972</v>
      </c>
      <c r="H114" s="212">
        <v>1421</v>
      </c>
      <c r="I114" s="212">
        <v>2842</v>
      </c>
      <c r="J114" s="212">
        <v>5130</v>
      </c>
    </row>
    <row r="115" spans="1:10" ht="14.1" customHeight="1" x14ac:dyDescent="0.15">
      <c r="A115" s="221"/>
      <c r="B115" s="221"/>
      <c r="C115" s="221"/>
      <c r="D115" s="210" t="s">
        <v>79</v>
      </c>
      <c r="E115" s="212">
        <v>2</v>
      </c>
      <c r="F115" s="212">
        <v>28332</v>
      </c>
      <c r="G115" s="212">
        <v>56664</v>
      </c>
      <c r="H115" s="212">
        <v>1421</v>
      </c>
      <c r="I115" s="212">
        <v>2842</v>
      </c>
      <c r="J115" s="212">
        <v>53822</v>
      </c>
    </row>
    <row r="116" spans="1:10" ht="14.1" customHeight="1" x14ac:dyDescent="0.15">
      <c r="A116" s="221"/>
      <c r="B116" s="221"/>
      <c r="C116" s="221"/>
      <c r="D116" s="210" t="s">
        <v>73</v>
      </c>
      <c r="E116" s="212">
        <v>2</v>
      </c>
      <c r="F116" s="212">
        <v>14548</v>
      </c>
      <c r="G116" s="212">
        <v>29096</v>
      </c>
      <c r="H116" s="212">
        <v>1421</v>
      </c>
      <c r="I116" s="212">
        <v>2842</v>
      </c>
      <c r="J116" s="212">
        <v>26254</v>
      </c>
    </row>
    <row r="117" spans="1:10" ht="14.1" customHeight="1" x14ac:dyDescent="0.15">
      <c r="A117" s="221"/>
      <c r="B117" s="221"/>
      <c r="C117" s="221"/>
      <c r="D117" s="210" t="s">
        <v>71</v>
      </c>
      <c r="E117" s="212">
        <v>6</v>
      </c>
      <c r="F117" s="212">
        <v>8249</v>
      </c>
      <c r="G117" s="212">
        <v>49494</v>
      </c>
      <c r="H117" s="212">
        <v>1421</v>
      </c>
      <c r="I117" s="212">
        <v>8526</v>
      </c>
      <c r="J117" s="212">
        <v>40968</v>
      </c>
    </row>
    <row r="118" spans="1:10" ht="14.1" customHeight="1" x14ac:dyDescent="0.15">
      <c r="A118" s="221"/>
      <c r="B118" s="221"/>
      <c r="C118" s="221"/>
      <c r="D118" s="210" t="s">
        <v>139</v>
      </c>
      <c r="E118" s="212">
        <v>7</v>
      </c>
      <c r="F118" s="212">
        <v>5518</v>
      </c>
      <c r="G118" s="212">
        <v>38626</v>
      </c>
      <c r="H118" s="212">
        <v>1421</v>
      </c>
      <c r="I118" s="212">
        <v>9947</v>
      </c>
      <c r="J118" s="212">
        <v>28679</v>
      </c>
    </row>
    <row r="119" spans="1:10" ht="14.1" customHeight="1" x14ac:dyDescent="0.15">
      <c r="A119" s="221"/>
      <c r="B119" s="221"/>
      <c r="C119" s="221"/>
      <c r="D119" s="210" t="s">
        <v>140</v>
      </c>
      <c r="E119" s="212">
        <v>1</v>
      </c>
      <c r="F119" s="212">
        <v>6524</v>
      </c>
      <c r="G119" s="212">
        <v>6524</v>
      </c>
      <c r="H119" s="212">
        <v>1421</v>
      </c>
      <c r="I119" s="212">
        <v>1421</v>
      </c>
      <c r="J119" s="212">
        <v>5103</v>
      </c>
    </row>
    <row r="120" spans="1:10" ht="29.1" customHeight="1" x14ac:dyDescent="0.15">
      <c r="A120" s="221"/>
      <c r="B120" s="221"/>
      <c r="C120" s="209" t="s">
        <v>160</v>
      </c>
      <c r="D120" s="210" t="s">
        <v>79</v>
      </c>
      <c r="E120" s="212">
        <v>8</v>
      </c>
      <c r="F120" s="212">
        <v>27613</v>
      </c>
      <c r="G120" s="212">
        <v>220904</v>
      </c>
      <c r="H120" s="212">
        <v>1367</v>
      </c>
      <c r="I120" s="212">
        <v>10936</v>
      </c>
      <c r="J120" s="212">
        <v>209968</v>
      </c>
    </row>
    <row r="121" spans="1:10" ht="29.1" customHeight="1" x14ac:dyDescent="0.15">
      <c r="A121" s="221"/>
      <c r="B121" s="221"/>
      <c r="C121" s="222" t="s">
        <v>161</v>
      </c>
      <c r="D121" s="210" t="s">
        <v>70</v>
      </c>
      <c r="E121" s="212">
        <v>31</v>
      </c>
      <c r="F121" s="212">
        <v>3267</v>
      </c>
      <c r="G121" s="212">
        <v>101277</v>
      </c>
      <c r="H121" s="212">
        <v>702</v>
      </c>
      <c r="I121" s="212">
        <v>21762</v>
      </c>
      <c r="J121" s="212">
        <v>79515</v>
      </c>
    </row>
    <row r="122" spans="1:10" ht="14.1" customHeight="1" x14ac:dyDescent="0.15">
      <c r="A122" s="221"/>
      <c r="B122" s="221"/>
      <c r="C122" s="221"/>
      <c r="D122" s="210" t="s">
        <v>101</v>
      </c>
      <c r="E122" s="212">
        <v>55</v>
      </c>
      <c r="F122" s="212">
        <v>45688</v>
      </c>
      <c r="G122" s="212">
        <v>2512840</v>
      </c>
      <c r="H122" s="212">
        <v>702</v>
      </c>
      <c r="I122" s="212">
        <v>38610</v>
      </c>
      <c r="J122" s="212">
        <v>2474230</v>
      </c>
    </row>
    <row r="123" spans="1:10" ht="14.1" customHeight="1" x14ac:dyDescent="0.15">
      <c r="A123" s="221"/>
      <c r="B123" s="221"/>
      <c r="C123" s="221"/>
      <c r="D123" s="210" t="s">
        <v>79</v>
      </c>
      <c r="E123" s="212">
        <v>1145</v>
      </c>
      <c r="F123" s="212">
        <v>27613</v>
      </c>
      <c r="G123" s="212">
        <v>31616885</v>
      </c>
      <c r="H123" s="212">
        <v>702</v>
      </c>
      <c r="I123" s="212">
        <v>803790</v>
      </c>
      <c r="J123" s="212">
        <v>30813095</v>
      </c>
    </row>
    <row r="124" spans="1:10" ht="14.1" customHeight="1" x14ac:dyDescent="0.15">
      <c r="A124" s="221"/>
      <c r="B124" s="221"/>
      <c r="C124" s="221"/>
      <c r="D124" s="210" t="s">
        <v>73</v>
      </c>
      <c r="E124" s="212">
        <v>357</v>
      </c>
      <c r="F124" s="212">
        <v>13829</v>
      </c>
      <c r="G124" s="212">
        <v>4936953</v>
      </c>
      <c r="H124" s="212">
        <v>702</v>
      </c>
      <c r="I124" s="212">
        <v>250614</v>
      </c>
      <c r="J124" s="212">
        <v>4686339</v>
      </c>
    </row>
    <row r="125" spans="1:10" ht="14.1" customHeight="1" x14ac:dyDescent="0.15">
      <c r="A125" s="221"/>
      <c r="B125" s="221"/>
      <c r="C125" s="221"/>
      <c r="D125" s="210" t="s">
        <v>71</v>
      </c>
      <c r="E125" s="212">
        <v>129</v>
      </c>
      <c r="F125" s="212">
        <v>7530</v>
      </c>
      <c r="G125" s="212">
        <v>971370</v>
      </c>
      <c r="H125" s="212">
        <v>702</v>
      </c>
      <c r="I125" s="212">
        <v>90558</v>
      </c>
      <c r="J125" s="212">
        <v>880812</v>
      </c>
    </row>
    <row r="126" spans="1:10" ht="14.1" customHeight="1" x14ac:dyDescent="0.15">
      <c r="A126" s="221"/>
      <c r="B126" s="221"/>
      <c r="C126" s="221"/>
      <c r="D126" s="210" t="s">
        <v>69</v>
      </c>
      <c r="E126" s="212">
        <v>1</v>
      </c>
      <c r="F126" s="212">
        <v>24895</v>
      </c>
      <c r="G126" s="212">
        <v>24895</v>
      </c>
      <c r="H126" s="212">
        <v>702</v>
      </c>
      <c r="I126" s="212">
        <v>702</v>
      </c>
      <c r="J126" s="212">
        <v>24193</v>
      </c>
    </row>
    <row r="127" spans="1:10" ht="14.1" customHeight="1" x14ac:dyDescent="0.15">
      <c r="A127" s="221"/>
      <c r="B127" s="221"/>
      <c r="C127" s="221"/>
      <c r="D127" s="210" t="s">
        <v>139</v>
      </c>
      <c r="E127" s="212">
        <v>254</v>
      </c>
      <c r="F127" s="212">
        <v>4799</v>
      </c>
      <c r="G127" s="212">
        <v>1218946</v>
      </c>
      <c r="H127" s="212">
        <v>702</v>
      </c>
      <c r="I127" s="212">
        <v>178308</v>
      </c>
      <c r="J127" s="212">
        <v>1040638</v>
      </c>
    </row>
    <row r="128" spans="1:10" ht="14.1" customHeight="1" x14ac:dyDescent="0.15">
      <c r="A128" s="221"/>
      <c r="B128" s="221"/>
      <c r="C128" s="221"/>
      <c r="D128" s="210" t="s">
        <v>140</v>
      </c>
      <c r="E128" s="212">
        <v>99</v>
      </c>
      <c r="F128" s="212">
        <v>5805</v>
      </c>
      <c r="G128" s="212">
        <v>574695</v>
      </c>
      <c r="H128" s="212">
        <v>702</v>
      </c>
      <c r="I128" s="212">
        <v>69498</v>
      </c>
      <c r="J128" s="212">
        <v>505197</v>
      </c>
    </row>
    <row r="129" spans="1:10" ht="29.1" customHeight="1" x14ac:dyDescent="0.15">
      <c r="A129" s="221"/>
      <c r="B129" s="220" t="s">
        <v>168</v>
      </c>
      <c r="C129" s="222" t="s">
        <v>161</v>
      </c>
      <c r="D129" s="210" t="s">
        <v>79</v>
      </c>
      <c r="E129" s="212">
        <v>5</v>
      </c>
      <c r="F129" s="212">
        <v>27613</v>
      </c>
      <c r="G129" s="212">
        <v>138065</v>
      </c>
      <c r="H129" s="212">
        <v>1627</v>
      </c>
      <c r="I129" s="212">
        <v>8135</v>
      </c>
      <c r="J129" s="212">
        <v>129930</v>
      </c>
    </row>
    <row r="130" spans="1:10" ht="14.1" customHeight="1" x14ac:dyDescent="0.15">
      <c r="A130" s="221"/>
      <c r="B130" s="221"/>
      <c r="C130" s="221"/>
      <c r="D130" s="210" t="s">
        <v>82</v>
      </c>
      <c r="E130" s="212">
        <v>4</v>
      </c>
      <c r="F130" s="212">
        <v>3112</v>
      </c>
      <c r="G130" s="212">
        <v>12448</v>
      </c>
      <c r="H130" s="212">
        <v>1627</v>
      </c>
      <c r="I130" s="212">
        <v>6508</v>
      </c>
      <c r="J130" s="212">
        <v>5940</v>
      </c>
    </row>
    <row r="131" spans="1:10" ht="29.1" customHeight="1" x14ac:dyDescent="0.15">
      <c r="A131" s="222" t="s">
        <v>120</v>
      </c>
      <c r="B131" s="221" t="s">
        <v>53</v>
      </c>
      <c r="C131" s="221"/>
      <c r="D131" s="221"/>
      <c r="E131" s="212">
        <v>7625</v>
      </c>
      <c r="F131" s="212">
        <v>280817</v>
      </c>
      <c r="G131" s="212">
        <v>71390090</v>
      </c>
      <c r="H131" s="212"/>
      <c r="I131" s="212">
        <v>5478264</v>
      </c>
      <c r="J131" s="212">
        <v>65911826</v>
      </c>
    </row>
    <row r="132" spans="1:10" ht="14.1" customHeight="1" x14ac:dyDescent="0.15">
      <c r="A132" s="221"/>
      <c r="B132" s="210" t="s">
        <v>63</v>
      </c>
      <c r="C132" s="210" t="s">
        <v>64</v>
      </c>
      <c r="D132" s="210" t="s">
        <v>65</v>
      </c>
      <c r="E132" s="218">
        <v>1</v>
      </c>
      <c r="F132" s="218">
        <v>10139</v>
      </c>
      <c r="G132" s="218">
        <v>10139</v>
      </c>
      <c r="H132" s="218">
        <v>0</v>
      </c>
      <c r="I132" s="218">
        <v>0</v>
      </c>
      <c r="J132" s="218">
        <v>10139</v>
      </c>
    </row>
    <row r="133" spans="1:10" ht="14.1" customHeight="1" x14ac:dyDescent="0.15">
      <c r="A133" s="221"/>
      <c r="B133" s="220" t="s">
        <v>66</v>
      </c>
      <c r="C133" s="211" t="s">
        <v>67</v>
      </c>
      <c r="D133" s="210" t="s">
        <v>134</v>
      </c>
      <c r="E133" s="219"/>
      <c r="F133" s="219"/>
      <c r="G133" s="219"/>
      <c r="H133" s="219"/>
      <c r="I133" s="219"/>
      <c r="J133" s="219"/>
    </row>
    <row r="134" spans="1:10" ht="29.1" customHeight="1" x14ac:dyDescent="0.15">
      <c r="A134" s="221"/>
      <c r="B134" s="221"/>
      <c r="C134" s="209" t="s">
        <v>161</v>
      </c>
      <c r="D134" s="210" t="s">
        <v>133</v>
      </c>
      <c r="E134" s="212">
        <v>86</v>
      </c>
      <c r="F134" s="212">
        <v>10841</v>
      </c>
      <c r="G134" s="212">
        <v>932326</v>
      </c>
      <c r="H134" s="212">
        <v>1627</v>
      </c>
      <c r="I134" s="212">
        <v>139922</v>
      </c>
      <c r="J134" s="212">
        <v>792404</v>
      </c>
    </row>
    <row r="135" spans="1:10" ht="14.1" customHeight="1" x14ac:dyDescent="0.15">
      <c r="A135" s="221"/>
      <c r="B135" s="213" t="s">
        <v>76</v>
      </c>
      <c r="C135" s="211" t="s">
        <v>67</v>
      </c>
      <c r="D135" s="210" t="s">
        <v>78</v>
      </c>
      <c r="E135" s="212">
        <v>1</v>
      </c>
      <c r="F135" s="212">
        <v>13127</v>
      </c>
      <c r="G135" s="212">
        <v>13127</v>
      </c>
      <c r="H135" s="212">
        <v>0</v>
      </c>
      <c r="I135" s="212">
        <v>0</v>
      </c>
      <c r="J135" s="212">
        <v>13127</v>
      </c>
    </row>
    <row r="136" spans="1:10" ht="42.95" customHeight="1" x14ac:dyDescent="0.15">
      <c r="A136" s="221"/>
      <c r="B136" s="222" t="s">
        <v>215</v>
      </c>
      <c r="C136" s="223" t="s">
        <v>67</v>
      </c>
      <c r="D136" s="210" t="s">
        <v>145</v>
      </c>
      <c r="E136" s="212">
        <v>2</v>
      </c>
      <c r="F136" s="212">
        <v>26911</v>
      </c>
      <c r="G136" s="212">
        <v>53822</v>
      </c>
      <c r="H136" s="212">
        <v>0</v>
      </c>
      <c r="I136" s="212">
        <v>0</v>
      </c>
      <c r="J136" s="212">
        <v>53822</v>
      </c>
    </row>
    <row r="137" spans="1:10" ht="14.1" customHeight="1" x14ac:dyDescent="0.15">
      <c r="A137" s="221"/>
      <c r="B137" s="221"/>
      <c r="C137" s="221"/>
      <c r="D137" s="210" t="s">
        <v>85</v>
      </c>
      <c r="E137" s="212">
        <v>1</v>
      </c>
      <c r="F137" s="212">
        <v>26911</v>
      </c>
      <c r="G137" s="212">
        <v>26911</v>
      </c>
      <c r="H137" s="212">
        <v>0</v>
      </c>
      <c r="I137" s="212">
        <v>0</v>
      </c>
      <c r="J137" s="212">
        <v>26911</v>
      </c>
    </row>
    <row r="138" spans="1:10" ht="14.1" customHeight="1" x14ac:dyDescent="0.15">
      <c r="A138" s="221"/>
      <c r="B138" s="221"/>
      <c r="C138" s="221"/>
      <c r="D138" s="210" t="s">
        <v>141</v>
      </c>
      <c r="E138" s="212">
        <v>4</v>
      </c>
      <c r="F138" s="212">
        <v>13127</v>
      </c>
      <c r="G138" s="212">
        <v>52508</v>
      </c>
      <c r="H138" s="212">
        <v>0</v>
      </c>
      <c r="I138" s="212">
        <v>0</v>
      </c>
      <c r="J138" s="212">
        <v>52508</v>
      </c>
    </row>
    <row r="139" spans="1:10" ht="14.1" customHeight="1" x14ac:dyDescent="0.15">
      <c r="A139" s="221"/>
      <c r="B139" s="221"/>
      <c r="C139" s="221"/>
      <c r="D139" s="210" t="s">
        <v>78</v>
      </c>
      <c r="E139" s="212">
        <v>1</v>
      </c>
      <c r="F139" s="212">
        <v>13127</v>
      </c>
      <c r="G139" s="212">
        <v>13127</v>
      </c>
      <c r="H139" s="212">
        <v>0</v>
      </c>
      <c r="I139" s="212">
        <v>0</v>
      </c>
      <c r="J139" s="212">
        <v>13127</v>
      </c>
    </row>
    <row r="140" spans="1:10" ht="14.1" customHeight="1" x14ac:dyDescent="0.15">
      <c r="A140" s="221"/>
      <c r="B140" s="221"/>
      <c r="C140" s="221"/>
      <c r="D140" s="210" t="s">
        <v>153</v>
      </c>
      <c r="E140" s="212">
        <v>1</v>
      </c>
      <c r="F140" s="212">
        <v>24193</v>
      </c>
      <c r="G140" s="212">
        <v>24193</v>
      </c>
      <c r="H140" s="212">
        <v>0</v>
      </c>
      <c r="I140" s="212">
        <v>0</v>
      </c>
      <c r="J140" s="212">
        <v>24193</v>
      </c>
    </row>
    <row r="141" spans="1:10" ht="29.1" customHeight="1" x14ac:dyDescent="0.15">
      <c r="A141" s="221"/>
      <c r="B141" s="221"/>
      <c r="C141" s="222" t="s">
        <v>159</v>
      </c>
      <c r="D141" s="210" t="s">
        <v>70</v>
      </c>
      <c r="E141" s="212">
        <v>33</v>
      </c>
      <c r="F141" s="212">
        <v>3986</v>
      </c>
      <c r="G141" s="212">
        <v>131538</v>
      </c>
      <c r="H141" s="212">
        <v>1421</v>
      </c>
      <c r="I141" s="212">
        <v>46893</v>
      </c>
      <c r="J141" s="212">
        <v>84645</v>
      </c>
    </row>
    <row r="142" spans="1:10" ht="14.1" customHeight="1" x14ac:dyDescent="0.15">
      <c r="A142" s="221"/>
      <c r="B142" s="221"/>
      <c r="C142" s="221"/>
      <c r="D142" s="210" t="s">
        <v>79</v>
      </c>
      <c r="E142" s="212">
        <v>6</v>
      </c>
      <c r="F142" s="212">
        <v>28332</v>
      </c>
      <c r="G142" s="212">
        <v>169992</v>
      </c>
      <c r="H142" s="212">
        <v>1421</v>
      </c>
      <c r="I142" s="212">
        <v>8526</v>
      </c>
      <c r="J142" s="212">
        <v>161466</v>
      </c>
    </row>
    <row r="143" spans="1:10" ht="29.1" customHeight="1" x14ac:dyDescent="0.15">
      <c r="A143" s="221"/>
      <c r="B143" s="221"/>
      <c r="C143" s="209" t="s">
        <v>160</v>
      </c>
      <c r="D143" s="210" t="s">
        <v>70</v>
      </c>
      <c r="E143" s="212">
        <v>33</v>
      </c>
      <c r="F143" s="212">
        <v>3469</v>
      </c>
      <c r="G143" s="212">
        <v>114461</v>
      </c>
      <c r="H143" s="212">
        <v>1367</v>
      </c>
      <c r="I143" s="212">
        <v>45111</v>
      </c>
      <c r="J143" s="212">
        <v>69350</v>
      </c>
    </row>
    <row r="144" spans="1:10" ht="29.1" customHeight="1" x14ac:dyDescent="0.15">
      <c r="A144" s="221"/>
      <c r="B144" s="221"/>
      <c r="C144" s="222" t="s">
        <v>161</v>
      </c>
      <c r="D144" s="210" t="s">
        <v>70</v>
      </c>
      <c r="E144" s="212">
        <v>4869</v>
      </c>
      <c r="F144" s="212">
        <v>3267</v>
      </c>
      <c r="G144" s="212">
        <v>15907023</v>
      </c>
      <c r="H144" s="212">
        <v>702</v>
      </c>
      <c r="I144" s="212">
        <v>3418038</v>
      </c>
      <c r="J144" s="212">
        <v>12488985</v>
      </c>
    </row>
    <row r="145" spans="1:10" ht="14.1" customHeight="1" x14ac:dyDescent="0.15">
      <c r="A145" s="221"/>
      <c r="B145" s="221"/>
      <c r="C145" s="221"/>
      <c r="D145" s="210" t="s">
        <v>79</v>
      </c>
      <c r="E145" s="212">
        <v>1328</v>
      </c>
      <c r="F145" s="212">
        <v>27613</v>
      </c>
      <c r="G145" s="212">
        <v>36670064</v>
      </c>
      <c r="H145" s="212">
        <v>702</v>
      </c>
      <c r="I145" s="212">
        <v>932256</v>
      </c>
      <c r="J145" s="212">
        <v>35737808</v>
      </c>
    </row>
    <row r="146" spans="1:10" ht="14.1" customHeight="1" x14ac:dyDescent="0.15">
      <c r="A146" s="221"/>
      <c r="B146" s="221"/>
      <c r="C146" s="221"/>
      <c r="D146" s="210" t="s">
        <v>73</v>
      </c>
      <c r="E146" s="212">
        <v>1232</v>
      </c>
      <c r="F146" s="212">
        <v>13829</v>
      </c>
      <c r="G146" s="212">
        <v>17037328</v>
      </c>
      <c r="H146" s="212">
        <v>702</v>
      </c>
      <c r="I146" s="212">
        <v>864864</v>
      </c>
      <c r="J146" s="212">
        <v>16172464</v>
      </c>
    </row>
    <row r="147" spans="1:10" ht="14.1" customHeight="1" x14ac:dyDescent="0.15">
      <c r="A147" s="221"/>
      <c r="B147" s="221"/>
      <c r="C147" s="221"/>
      <c r="D147" s="210" t="s">
        <v>71</v>
      </c>
      <c r="E147" s="212">
        <v>10</v>
      </c>
      <c r="F147" s="212">
        <v>7530</v>
      </c>
      <c r="G147" s="212">
        <v>75300</v>
      </c>
      <c r="H147" s="212">
        <v>702</v>
      </c>
      <c r="I147" s="212">
        <v>7020</v>
      </c>
      <c r="J147" s="212">
        <v>68280</v>
      </c>
    </row>
    <row r="148" spans="1:10" ht="14.1" customHeight="1" x14ac:dyDescent="0.15">
      <c r="A148" s="221"/>
      <c r="B148" s="221"/>
      <c r="C148" s="221"/>
      <c r="D148" s="210" t="s">
        <v>75</v>
      </c>
      <c r="E148" s="212">
        <v>12</v>
      </c>
      <c r="F148" s="212">
        <v>1907</v>
      </c>
      <c r="G148" s="212">
        <v>22884</v>
      </c>
      <c r="H148" s="212">
        <v>702</v>
      </c>
      <c r="I148" s="212">
        <v>8424</v>
      </c>
      <c r="J148" s="212">
        <v>14460</v>
      </c>
    </row>
    <row r="149" spans="1:10" ht="14.1" customHeight="1" x14ac:dyDescent="0.15">
      <c r="A149" s="221"/>
      <c r="B149" s="221"/>
      <c r="C149" s="221"/>
      <c r="D149" s="210" t="s">
        <v>69</v>
      </c>
      <c r="E149" s="212">
        <v>1</v>
      </c>
      <c r="F149" s="212">
        <v>24895</v>
      </c>
      <c r="G149" s="212">
        <v>24895</v>
      </c>
      <c r="H149" s="212">
        <v>702</v>
      </c>
      <c r="I149" s="212">
        <v>702</v>
      </c>
      <c r="J149" s="212">
        <v>24193</v>
      </c>
    </row>
    <row r="150" spans="1:10" ht="29.1" customHeight="1" x14ac:dyDescent="0.15">
      <c r="A150" s="221"/>
      <c r="B150" s="213" t="s">
        <v>168</v>
      </c>
      <c r="C150" s="209" t="s">
        <v>161</v>
      </c>
      <c r="D150" s="210" t="s">
        <v>79</v>
      </c>
      <c r="E150" s="212">
        <v>4</v>
      </c>
      <c r="F150" s="212">
        <v>27613</v>
      </c>
      <c r="G150" s="212">
        <v>110452</v>
      </c>
      <c r="H150" s="212">
        <v>1627</v>
      </c>
      <c r="I150" s="212">
        <v>6508</v>
      </c>
      <c r="J150" s="212">
        <v>103944</v>
      </c>
    </row>
    <row r="151" spans="1:10" ht="29.1" customHeight="1" x14ac:dyDescent="0.15">
      <c r="A151" s="222" t="s">
        <v>151</v>
      </c>
      <c r="B151" s="221" t="s">
        <v>53</v>
      </c>
      <c r="C151" s="221"/>
      <c r="D151" s="221"/>
      <c r="E151" s="212">
        <v>53875</v>
      </c>
      <c r="F151" s="212">
        <v>1321738</v>
      </c>
      <c r="G151" s="212">
        <v>677496708</v>
      </c>
      <c r="H151" s="212"/>
      <c r="I151" s="212">
        <v>81101414</v>
      </c>
      <c r="J151" s="212">
        <v>596395294</v>
      </c>
    </row>
    <row r="152" spans="1:10" ht="14.1" customHeight="1" x14ac:dyDescent="0.15">
      <c r="A152" s="221"/>
      <c r="B152" s="210" t="s">
        <v>63</v>
      </c>
      <c r="C152" s="210" t="s">
        <v>64</v>
      </c>
      <c r="D152" s="210" t="s">
        <v>65</v>
      </c>
      <c r="E152" s="218">
        <v>22</v>
      </c>
      <c r="F152" s="218">
        <v>10139</v>
      </c>
      <c r="G152" s="218">
        <v>223058</v>
      </c>
      <c r="H152" s="218">
        <v>0</v>
      </c>
      <c r="I152" s="218">
        <v>0</v>
      </c>
      <c r="J152" s="218">
        <v>223058</v>
      </c>
    </row>
    <row r="153" spans="1:10" ht="14.1" customHeight="1" x14ac:dyDescent="0.15">
      <c r="A153" s="221"/>
      <c r="B153" s="220" t="s">
        <v>66</v>
      </c>
      <c r="C153" s="223" t="s">
        <v>67</v>
      </c>
      <c r="D153" s="210" t="s">
        <v>134</v>
      </c>
      <c r="E153" s="219"/>
      <c r="F153" s="219"/>
      <c r="G153" s="219"/>
      <c r="H153" s="219"/>
      <c r="I153" s="219"/>
      <c r="J153" s="219"/>
    </row>
    <row r="154" spans="1:10" ht="14.1" customHeight="1" x14ac:dyDescent="0.15">
      <c r="A154" s="221"/>
      <c r="B154" s="221"/>
      <c r="C154" s="221"/>
      <c r="D154" s="210" t="s">
        <v>132</v>
      </c>
      <c r="E154" s="212">
        <v>148</v>
      </c>
      <c r="F154" s="212">
        <v>10139</v>
      </c>
      <c r="G154" s="212">
        <v>1500572</v>
      </c>
      <c r="H154" s="212">
        <v>0</v>
      </c>
      <c r="I154" s="212">
        <v>0</v>
      </c>
      <c r="J154" s="212">
        <v>1500572</v>
      </c>
    </row>
    <row r="155" spans="1:10" ht="29.1" customHeight="1" x14ac:dyDescent="0.15">
      <c r="A155" s="221"/>
      <c r="B155" s="221"/>
      <c r="C155" s="209" t="s">
        <v>159</v>
      </c>
      <c r="D155" s="210" t="s">
        <v>133</v>
      </c>
      <c r="E155" s="212">
        <v>211</v>
      </c>
      <c r="F155" s="212">
        <v>11560</v>
      </c>
      <c r="G155" s="212">
        <v>2439160</v>
      </c>
      <c r="H155" s="212">
        <v>2346</v>
      </c>
      <c r="I155" s="212">
        <v>495006</v>
      </c>
      <c r="J155" s="212">
        <v>1944154</v>
      </c>
    </row>
    <row r="156" spans="1:10" ht="29.1" customHeight="1" x14ac:dyDescent="0.15">
      <c r="A156" s="221"/>
      <c r="B156" s="221"/>
      <c r="C156" s="209" t="s">
        <v>161</v>
      </c>
      <c r="D156" s="210" t="s">
        <v>133</v>
      </c>
      <c r="E156" s="212">
        <v>5717</v>
      </c>
      <c r="F156" s="212">
        <v>10844</v>
      </c>
      <c r="G156" s="212">
        <v>61995972</v>
      </c>
      <c r="H156" s="212">
        <v>1627</v>
      </c>
      <c r="I156" s="212">
        <v>9301559</v>
      </c>
      <c r="J156" s="212">
        <v>52694413</v>
      </c>
    </row>
    <row r="157" spans="1:10" ht="14.1" customHeight="1" x14ac:dyDescent="0.15">
      <c r="A157" s="221"/>
      <c r="B157" s="213" t="s">
        <v>76</v>
      </c>
      <c r="C157" s="211" t="s">
        <v>67</v>
      </c>
      <c r="D157" s="210" t="s">
        <v>78</v>
      </c>
      <c r="E157" s="212">
        <v>5</v>
      </c>
      <c r="F157" s="212">
        <v>13127</v>
      </c>
      <c r="G157" s="212">
        <v>65635</v>
      </c>
      <c r="H157" s="212">
        <v>0</v>
      </c>
      <c r="I157" s="212">
        <v>0</v>
      </c>
      <c r="J157" s="212">
        <v>65635</v>
      </c>
    </row>
    <row r="158" spans="1:10" ht="14.1" customHeight="1" x14ac:dyDescent="0.15">
      <c r="A158" s="221"/>
      <c r="B158" s="220" t="s">
        <v>162</v>
      </c>
      <c r="C158" s="223" t="s">
        <v>108</v>
      </c>
      <c r="D158" s="210" t="s">
        <v>163</v>
      </c>
      <c r="E158" s="212">
        <v>31</v>
      </c>
      <c r="F158" s="212">
        <v>23712</v>
      </c>
      <c r="G158" s="212">
        <v>735072</v>
      </c>
      <c r="H158" s="212">
        <v>3932</v>
      </c>
      <c r="I158" s="212">
        <v>121892</v>
      </c>
      <c r="J158" s="212">
        <v>613180</v>
      </c>
    </row>
    <row r="159" spans="1:10" ht="14.1" customHeight="1" x14ac:dyDescent="0.15">
      <c r="A159" s="221"/>
      <c r="B159" s="221"/>
      <c r="C159" s="221"/>
      <c r="D159" s="210" t="s">
        <v>165</v>
      </c>
      <c r="E159" s="212">
        <v>517</v>
      </c>
      <c r="F159" s="212">
        <v>20422</v>
      </c>
      <c r="G159" s="212">
        <v>10558174</v>
      </c>
      <c r="H159" s="212">
        <v>3932</v>
      </c>
      <c r="I159" s="212">
        <v>2032844</v>
      </c>
      <c r="J159" s="212">
        <v>8525330</v>
      </c>
    </row>
    <row r="160" spans="1:10" ht="42.95" customHeight="1" x14ac:dyDescent="0.15">
      <c r="A160" s="221"/>
      <c r="B160" s="222" t="s">
        <v>215</v>
      </c>
      <c r="C160" s="223" t="s">
        <v>67</v>
      </c>
      <c r="D160" s="210" t="s">
        <v>154</v>
      </c>
      <c r="E160" s="212">
        <v>2</v>
      </c>
      <c r="F160" s="212">
        <v>44986</v>
      </c>
      <c r="G160" s="212">
        <v>89972</v>
      </c>
      <c r="H160" s="212">
        <v>0</v>
      </c>
      <c r="I160" s="212">
        <v>0</v>
      </c>
      <c r="J160" s="212">
        <v>89972</v>
      </c>
    </row>
    <row r="161" spans="1:10" ht="14.1" customHeight="1" x14ac:dyDescent="0.15">
      <c r="A161" s="221"/>
      <c r="B161" s="221"/>
      <c r="C161" s="221"/>
      <c r="D161" s="210" t="s">
        <v>145</v>
      </c>
      <c r="E161" s="212">
        <v>7</v>
      </c>
      <c r="F161" s="212">
        <v>26911</v>
      </c>
      <c r="G161" s="212">
        <v>188377</v>
      </c>
      <c r="H161" s="212">
        <v>0</v>
      </c>
      <c r="I161" s="212">
        <v>0</v>
      </c>
      <c r="J161" s="212">
        <v>188377</v>
      </c>
    </row>
    <row r="162" spans="1:10" ht="14.1" customHeight="1" x14ac:dyDescent="0.15">
      <c r="A162" s="221"/>
      <c r="B162" s="221"/>
      <c r="C162" s="221"/>
      <c r="D162" s="210" t="s">
        <v>85</v>
      </c>
      <c r="E162" s="212">
        <v>27</v>
      </c>
      <c r="F162" s="212">
        <v>26911</v>
      </c>
      <c r="G162" s="212">
        <v>726597</v>
      </c>
      <c r="H162" s="212">
        <v>0</v>
      </c>
      <c r="I162" s="212">
        <v>0</v>
      </c>
      <c r="J162" s="212">
        <v>726597</v>
      </c>
    </row>
    <row r="163" spans="1:10" ht="14.1" customHeight="1" x14ac:dyDescent="0.15">
      <c r="A163" s="221"/>
      <c r="B163" s="221"/>
      <c r="C163" s="221"/>
      <c r="D163" s="210" t="s">
        <v>141</v>
      </c>
      <c r="E163" s="212">
        <v>6</v>
      </c>
      <c r="F163" s="212">
        <v>13127</v>
      </c>
      <c r="G163" s="212">
        <v>78762</v>
      </c>
      <c r="H163" s="212">
        <v>0</v>
      </c>
      <c r="I163" s="212">
        <v>0</v>
      </c>
      <c r="J163" s="212">
        <v>78762</v>
      </c>
    </row>
    <row r="164" spans="1:10" ht="14.1" customHeight="1" x14ac:dyDescent="0.15">
      <c r="A164" s="221"/>
      <c r="B164" s="221"/>
      <c r="C164" s="221"/>
      <c r="D164" s="210" t="s">
        <v>78</v>
      </c>
      <c r="E164" s="212">
        <v>44</v>
      </c>
      <c r="F164" s="212">
        <v>13127</v>
      </c>
      <c r="G164" s="212">
        <v>577588</v>
      </c>
      <c r="H164" s="212">
        <v>0</v>
      </c>
      <c r="I164" s="212">
        <v>0</v>
      </c>
      <c r="J164" s="212">
        <v>577588</v>
      </c>
    </row>
    <row r="165" spans="1:10" ht="14.1" customHeight="1" x14ac:dyDescent="0.15">
      <c r="A165" s="221"/>
      <c r="B165" s="221"/>
      <c r="C165" s="221"/>
      <c r="D165" s="210" t="s">
        <v>146</v>
      </c>
      <c r="E165" s="212">
        <v>1</v>
      </c>
      <c r="F165" s="212">
        <v>10040</v>
      </c>
      <c r="G165" s="212">
        <v>10040</v>
      </c>
      <c r="H165" s="212">
        <v>0</v>
      </c>
      <c r="I165" s="212">
        <v>0</v>
      </c>
      <c r="J165" s="212">
        <v>10040</v>
      </c>
    </row>
    <row r="166" spans="1:10" ht="14.1" customHeight="1" x14ac:dyDescent="0.15">
      <c r="A166" s="221"/>
      <c r="B166" s="221"/>
      <c r="C166" s="221"/>
      <c r="D166" s="210" t="s">
        <v>83</v>
      </c>
      <c r="E166" s="212">
        <v>5</v>
      </c>
      <c r="F166" s="212">
        <v>10040</v>
      </c>
      <c r="G166" s="212">
        <v>50200</v>
      </c>
      <c r="H166" s="212">
        <v>0</v>
      </c>
      <c r="I166" s="212">
        <v>0</v>
      </c>
      <c r="J166" s="212">
        <v>50200</v>
      </c>
    </row>
    <row r="167" spans="1:10" ht="14.1" customHeight="1" x14ac:dyDescent="0.15">
      <c r="A167" s="221"/>
      <c r="B167" s="221"/>
      <c r="C167" s="221"/>
      <c r="D167" s="210" t="s">
        <v>136</v>
      </c>
      <c r="E167" s="212">
        <v>11</v>
      </c>
      <c r="F167" s="212">
        <v>6828</v>
      </c>
      <c r="G167" s="212">
        <v>75108</v>
      </c>
      <c r="H167" s="212">
        <v>0</v>
      </c>
      <c r="I167" s="212">
        <v>0</v>
      </c>
      <c r="J167" s="212">
        <v>75108</v>
      </c>
    </row>
    <row r="168" spans="1:10" ht="14.1" customHeight="1" x14ac:dyDescent="0.15">
      <c r="A168" s="221"/>
      <c r="B168" s="221"/>
      <c r="C168" s="221"/>
      <c r="D168" s="210" t="s">
        <v>77</v>
      </c>
      <c r="E168" s="212">
        <v>89</v>
      </c>
      <c r="F168" s="212">
        <v>6828</v>
      </c>
      <c r="G168" s="212">
        <v>607692</v>
      </c>
      <c r="H168" s="212">
        <v>0</v>
      </c>
      <c r="I168" s="212">
        <v>0</v>
      </c>
      <c r="J168" s="212">
        <v>607692</v>
      </c>
    </row>
    <row r="169" spans="1:10" ht="14.1" customHeight="1" x14ac:dyDescent="0.15">
      <c r="A169" s="221"/>
      <c r="B169" s="221"/>
      <c r="C169" s="221"/>
      <c r="D169" s="210" t="s">
        <v>149</v>
      </c>
      <c r="E169" s="212">
        <v>2</v>
      </c>
      <c r="F169" s="212">
        <v>4251</v>
      </c>
      <c r="G169" s="212">
        <v>8502</v>
      </c>
      <c r="H169" s="212">
        <v>0</v>
      </c>
      <c r="I169" s="212">
        <v>0</v>
      </c>
      <c r="J169" s="212">
        <v>8502</v>
      </c>
    </row>
    <row r="170" spans="1:10" ht="14.1" customHeight="1" x14ac:dyDescent="0.15">
      <c r="A170" s="221"/>
      <c r="B170" s="221"/>
      <c r="C170" s="221"/>
      <c r="D170" s="210" t="s">
        <v>86</v>
      </c>
      <c r="E170" s="212">
        <v>10</v>
      </c>
      <c r="F170" s="212">
        <v>4251</v>
      </c>
      <c r="G170" s="212">
        <v>42510</v>
      </c>
      <c r="H170" s="212">
        <v>0</v>
      </c>
      <c r="I170" s="212">
        <v>0</v>
      </c>
      <c r="J170" s="212">
        <v>42510</v>
      </c>
    </row>
    <row r="171" spans="1:10" ht="14.1" customHeight="1" x14ac:dyDescent="0.15">
      <c r="A171" s="221"/>
      <c r="B171" s="221"/>
      <c r="C171" s="221"/>
      <c r="D171" s="210" t="s">
        <v>84</v>
      </c>
      <c r="E171" s="212">
        <v>3</v>
      </c>
      <c r="F171" s="212">
        <v>2410</v>
      </c>
      <c r="G171" s="212">
        <v>7230</v>
      </c>
      <c r="H171" s="212">
        <v>0</v>
      </c>
      <c r="I171" s="212">
        <v>0</v>
      </c>
      <c r="J171" s="212">
        <v>7230</v>
      </c>
    </row>
    <row r="172" spans="1:10" ht="14.1" customHeight="1" x14ac:dyDescent="0.15">
      <c r="A172" s="221"/>
      <c r="B172" s="221"/>
      <c r="C172" s="221"/>
      <c r="D172" s="210" t="s">
        <v>148</v>
      </c>
      <c r="E172" s="212">
        <v>1</v>
      </c>
      <c r="F172" s="212">
        <v>1205</v>
      </c>
      <c r="G172" s="212">
        <v>1205</v>
      </c>
      <c r="H172" s="212">
        <v>0</v>
      </c>
      <c r="I172" s="212">
        <v>0</v>
      </c>
      <c r="J172" s="212">
        <v>1205</v>
      </c>
    </row>
    <row r="173" spans="1:10" ht="14.1" customHeight="1" x14ac:dyDescent="0.15">
      <c r="A173" s="221"/>
      <c r="B173" s="221"/>
      <c r="C173" s="221"/>
      <c r="D173" s="210" t="s">
        <v>153</v>
      </c>
      <c r="E173" s="212">
        <v>13</v>
      </c>
      <c r="F173" s="212">
        <v>24193</v>
      </c>
      <c r="G173" s="212">
        <v>314509</v>
      </c>
      <c r="H173" s="212">
        <v>0</v>
      </c>
      <c r="I173" s="212">
        <v>0</v>
      </c>
      <c r="J173" s="212">
        <v>314509</v>
      </c>
    </row>
    <row r="174" spans="1:10" ht="14.1" customHeight="1" x14ac:dyDescent="0.15">
      <c r="A174" s="221"/>
      <c r="B174" s="221"/>
      <c r="C174" s="221"/>
      <c r="D174" s="210" t="s">
        <v>68</v>
      </c>
      <c r="E174" s="212">
        <v>63</v>
      </c>
      <c r="F174" s="212">
        <v>24193</v>
      </c>
      <c r="G174" s="212">
        <v>1524159</v>
      </c>
      <c r="H174" s="212">
        <v>0</v>
      </c>
      <c r="I174" s="212">
        <v>0</v>
      </c>
      <c r="J174" s="212">
        <v>1524159</v>
      </c>
    </row>
    <row r="175" spans="1:10" ht="14.1" customHeight="1" x14ac:dyDescent="0.15">
      <c r="A175" s="221"/>
      <c r="B175" s="221"/>
      <c r="C175" s="221"/>
      <c r="D175" s="210" t="s">
        <v>137</v>
      </c>
      <c r="E175" s="212">
        <v>103</v>
      </c>
      <c r="F175" s="212">
        <v>4097</v>
      </c>
      <c r="G175" s="212">
        <v>421991</v>
      </c>
      <c r="H175" s="212">
        <v>0</v>
      </c>
      <c r="I175" s="212">
        <v>0</v>
      </c>
      <c r="J175" s="212">
        <v>421991</v>
      </c>
    </row>
    <row r="176" spans="1:10" ht="14.1" customHeight="1" x14ac:dyDescent="0.15">
      <c r="A176" s="221"/>
      <c r="B176" s="221"/>
      <c r="C176" s="221"/>
      <c r="D176" s="210" t="s">
        <v>143</v>
      </c>
      <c r="E176" s="212">
        <v>12</v>
      </c>
      <c r="F176" s="212">
        <v>5103</v>
      </c>
      <c r="G176" s="212">
        <v>61236</v>
      </c>
      <c r="H176" s="212">
        <v>0</v>
      </c>
      <c r="I176" s="212">
        <v>0</v>
      </c>
      <c r="J176" s="212">
        <v>61236</v>
      </c>
    </row>
    <row r="177" spans="1:10" ht="14.1" customHeight="1" x14ac:dyDescent="0.15">
      <c r="A177" s="221"/>
      <c r="B177" s="221"/>
      <c r="C177" s="221"/>
      <c r="D177" s="210" t="s">
        <v>138</v>
      </c>
      <c r="E177" s="212">
        <v>46</v>
      </c>
      <c r="F177" s="212">
        <v>5103</v>
      </c>
      <c r="G177" s="212">
        <v>234738</v>
      </c>
      <c r="H177" s="212">
        <v>0</v>
      </c>
      <c r="I177" s="212">
        <v>0</v>
      </c>
      <c r="J177" s="212">
        <v>234738</v>
      </c>
    </row>
    <row r="178" spans="1:10" ht="29.1" customHeight="1" x14ac:dyDescent="0.15">
      <c r="A178" s="221"/>
      <c r="B178" s="221"/>
      <c r="C178" s="222" t="s">
        <v>159</v>
      </c>
      <c r="D178" s="210" t="s">
        <v>70</v>
      </c>
      <c r="E178" s="212">
        <v>14</v>
      </c>
      <c r="F178" s="212">
        <v>3986</v>
      </c>
      <c r="G178" s="212">
        <v>55804</v>
      </c>
      <c r="H178" s="212">
        <v>1421</v>
      </c>
      <c r="I178" s="212">
        <v>19894</v>
      </c>
      <c r="J178" s="212">
        <v>35910</v>
      </c>
    </row>
    <row r="179" spans="1:10" ht="14.1" customHeight="1" x14ac:dyDescent="0.15">
      <c r="A179" s="221"/>
      <c r="B179" s="221"/>
      <c r="C179" s="221"/>
      <c r="D179" s="210" t="s">
        <v>88</v>
      </c>
      <c r="E179" s="212">
        <v>3</v>
      </c>
      <c r="F179" s="212">
        <v>62633</v>
      </c>
      <c r="G179" s="212">
        <v>187899</v>
      </c>
      <c r="H179" s="212">
        <v>1421</v>
      </c>
      <c r="I179" s="212">
        <v>4263</v>
      </c>
      <c r="J179" s="212">
        <v>183636</v>
      </c>
    </row>
    <row r="180" spans="1:10" ht="14.1" customHeight="1" x14ac:dyDescent="0.15">
      <c r="A180" s="221"/>
      <c r="B180" s="221"/>
      <c r="C180" s="221"/>
      <c r="D180" s="210" t="s">
        <v>79</v>
      </c>
      <c r="E180" s="212">
        <v>114</v>
      </c>
      <c r="F180" s="212">
        <v>28332</v>
      </c>
      <c r="G180" s="212">
        <v>3229848</v>
      </c>
      <c r="H180" s="212">
        <v>1421</v>
      </c>
      <c r="I180" s="212">
        <v>161994</v>
      </c>
      <c r="J180" s="212">
        <v>3067854</v>
      </c>
    </row>
    <row r="181" spans="1:10" ht="14.1" customHeight="1" x14ac:dyDescent="0.15">
      <c r="A181" s="221"/>
      <c r="B181" s="221"/>
      <c r="C181" s="221"/>
      <c r="D181" s="210" t="s">
        <v>73</v>
      </c>
      <c r="E181" s="212">
        <v>29</v>
      </c>
      <c r="F181" s="212">
        <v>14548</v>
      </c>
      <c r="G181" s="212">
        <v>421892</v>
      </c>
      <c r="H181" s="212">
        <v>1421</v>
      </c>
      <c r="I181" s="212">
        <v>41209</v>
      </c>
      <c r="J181" s="212">
        <v>380683</v>
      </c>
    </row>
    <row r="182" spans="1:10" ht="14.1" customHeight="1" x14ac:dyDescent="0.15">
      <c r="A182" s="221"/>
      <c r="B182" s="221"/>
      <c r="C182" s="221"/>
      <c r="D182" s="210" t="s">
        <v>74</v>
      </c>
      <c r="E182" s="212">
        <v>4</v>
      </c>
      <c r="F182" s="212">
        <v>11461</v>
      </c>
      <c r="G182" s="212">
        <v>45844</v>
      </c>
      <c r="H182" s="212">
        <v>1421</v>
      </c>
      <c r="I182" s="212">
        <v>5684</v>
      </c>
      <c r="J182" s="212">
        <v>40160</v>
      </c>
    </row>
    <row r="183" spans="1:10" ht="14.1" customHeight="1" x14ac:dyDescent="0.15">
      <c r="A183" s="221"/>
      <c r="B183" s="221"/>
      <c r="C183" s="221"/>
      <c r="D183" s="210" t="s">
        <v>71</v>
      </c>
      <c r="E183" s="212">
        <v>180</v>
      </c>
      <c r="F183" s="212">
        <v>8249</v>
      </c>
      <c r="G183" s="212">
        <v>1484820</v>
      </c>
      <c r="H183" s="212">
        <v>1421</v>
      </c>
      <c r="I183" s="212">
        <v>255780</v>
      </c>
      <c r="J183" s="212">
        <v>1229040</v>
      </c>
    </row>
    <row r="184" spans="1:10" ht="14.1" customHeight="1" x14ac:dyDescent="0.15">
      <c r="A184" s="221"/>
      <c r="B184" s="221"/>
      <c r="C184" s="221"/>
      <c r="D184" s="210" t="s">
        <v>72</v>
      </c>
      <c r="E184" s="212">
        <v>8</v>
      </c>
      <c r="F184" s="212">
        <v>5672</v>
      </c>
      <c r="G184" s="212">
        <v>45376</v>
      </c>
      <c r="H184" s="212">
        <v>1421</v>
      </c>
      <c r="I184" s="212">
        <v>11368</v>
      </c>
      <c r="J184" s="212">
        <v>34008</v>
      </c>
    </row>
    <row r="185" spans="1:10" ht="14.1" customHeight="1" x14ac:dyDescent="0.15">
      <c r="A185" s="221"/>
      <c r="B185" s="221"/>
      <c r="C185" s="221"/>
      <c r="D185" s="210" t="s">
        <v>82</v>
      </c>
      <c r="E185" s="212">
        <v>3</v>
      </c>
      <c r="F185" s="212">
        <v>3831</v>
      </c>
      <c r="G185" s="212">
        <v>11493</v>
      </c>
      <c r="H185" s="212">
        <v>1421</v>
      </c>
      <c r="I185" s="212">
        <v>4263</v>
      </c>
      <c r="J185" s="212">
        <v>7230</v>
      </c>
    </row>
    <row r="186" spans="1:10" ht="14.1" customHeight="1" x14ac:dyDescent="0.15">
      <c r="A186" s="221"/>
      <c r="B186" s="221"/>
      <c r="C186" s="221"/>
      <c r="D186" s="210" t="s">
        <v>75</v>
      </c>
      <c r="E186" s="212">
        <v>4</v>
      </c>
      <c r="F186" s="212">
        <v>2626</v>
      </c>
      <c r="G186" s="212">
        <v>10504</v>
      </c>
      <c r="H186" s="212">
        <v>1421</v>
      </c>
      <c r="I186" s="212">
        <v>5684</v>
      </c>
      <c r="J186" s="212">
        <v>4820</v>
      </c>
    </row>
    <row r="187" spans="1:10" ht="14.1" customHeight="1" x14ac:dyDescent="0.15">
      <c r="A187" s="221"/>
      <c r="B187" s="221"/>
      <c r="C187" s="221"/>
      <c r="D187" s="210" t="s">
        <v>69</v>
      </c>
      <c r="E187" s="212">
        <v>3</v>
      </c>
      <c r="F187" s="212">
        <v>25614</v>
      </c>
      <c r="G187" s="212">
        <v>76842</v>
      </c>
      <c r="H187" s="212">
        <v>1421</v>
      </c>
      <c r="I187" s="212">
        <v>4263</v>
      </c>
      <c r="J187" s="212">
        <v>72579</v>
      </c>
    </row>
    <row r="188" spans="1:10" ht="14.1" customHeight="1" x14ac:dyDescent="0.15">
      <c r="A188" s="221"/>
      <c r="B188" s="221"/>
      <c r="C188" s="221"/>
      <c r="D188" s="210" t="s">
        <v>139</v>
      </c>
      <c r="E188" s="212">
        <v>143</v>
      </c>
      <c r="F188" s="212">
        <v>5518</v>
      </c>
      <c r="G188" s="212">
        <v>789074</v>
      </c>
      <c r="H188" s="212">
        <v>1421</v>
      </c>
      <c r="I188" s="212">
        <v>203203</v>
      </c>
      <c r="J188" s="212">
        <v>585871</v>
      </c>
    </row>
    <row r="189" spans="1:10" ht="14.1" customHeight="1" x14ac:dyDescent="0.15">
      <c r="A189" s="221"/>
      <c r="B189" s="221"/>
      <c r="C189" s="221"/>
      <c r="D189" s="210" t="s">
        <v>140</v>
      </c>
      <c r="E189" s="212">
        <v>25</v>
      </c>
      <c r="F189" s="212">
        <v>6524</v>
      </c>
      <c r="G189" s="212">
        <v>163100</v>
      </c>
      <c r="H189" s="212">
        <v>1421</v>
      </c>
      <c r="I189" s="212">
        <v>35525</v>
      </c>
      <c r="J189" s="212">
        <v>127575</v>
      </c>
    </row>
    <row r="190" spans="1:10" ht="29.1" customHeight="1" x14ac:dyDescent="0.15">
      <c r="A190" s="221"/>
      <c r="B190" s="221"/>
      <c r="C190" s="222" t="s">
        <v>160</v>
      </c>
      <c r="D190" s="210" t="s">
        <v>71</v>
      </c>
      <c r="E190" s="212">
        <v>5</v>
      </c>
      <c r="F190" s="212">
        <v>8062</v>
      </c>
      <c r="G190" s="212">
        <v>40310</v>
      </c>
      <c r="H190" s="212">
        <v>1367</v>
      </c>
      <c r="I190" s="212">
        <v>6835</v>
      </c>
      <c r="J190" s="212">
        <v>33475</v>
      </c>
    </row>
    <row r="191" spans="1:10" ht="14.1" customHeight="1" x14ac:dyDescent="0.15">
      <c r="A191" s="221"/>
      <c r="B191" s="221"/>
      <c r="C191" s="221"/>
      <c r="D191" s="210" t="s">
        <v>139</v>
      </c>
      <c r="E191" s="212">
        <v>6</v>
      </c>
      <c r="F191" s="212">
        <v>5353</v>
      </c>
      <c r="G191" s="212">
        <v>32119</v>
      </c>
      <c r="H191" s="212">
        <v>1367</v>
      </c>
      <c r="I191" s="212">
        <v>8202</v>
      </c>
      <c r="J191" s="212">
        <v>23917</v>
      </c>
    </row>
    <row r="192" spans="1:10" ht="29.1" customHeight="1" x14ac:dyDescent="0.15">
      <c r="A192" s="221"/>
      <c r="B192" s="221"/>
      <c r="C192" s="222" t="s">
        <v>161</v>
      </c>
      <c r="D192" s="210" t="s">
        <v>70</v>
      </c>
      <c r="E192" s="212">
        <v>160</v>
      </c>
      <c r="F192" s="212">
        <v>3267</v>
      </c>
      <c r="G192" s="212">
        <v>522720</v>
      </c>
      <c r="H192" s="212">
        <v>702</v>
      </c>
      <c r="I192" s="212">
        <v>112320</v>
      </c>
      <c r="J192" s="212">
        <v>410400</v>
      </c>
    </row>
    <row r="193" spans="1:10" ht="14.1" customHeight="1" x14ac:dyDescent="0.15">
      <c r="A193" s="221"/>
      <c r="B193" s="221"/>
      <c r="C193" s="221"/>
      <c r="D193" s="210" t="s">
        <v>88</v>
      </c>
      <c r="E193" s="212">
        <v>76</v>
      </c>
      <c r="F193" s="212">
        <v>61914</v>
      </c>
      <c r="G193" s="212">
        <v>4705464</v>
      </c>
      <c r="H193" s="212">
        <v>702</v>
      </c>
      <c r="I193" s="212">
        <v>53352</v>
      </c>
      <c r="J193" s="212">
        <v>4652112</v>
      </c>
    </row>
    <row r="194" spans="1:10" ht="14.1" customHeight="1" x14ac:dyDescent="0.15">
      <c r="A194" s="221"/>
      <c r="B194" s="221"/>
      <c r="C194" s="221"/>
      <c r="D194" s="210" t="s">
        <v>101</v>
      </c>
      <c r="E194" s="212">
        <v>9</v>
      </c>
      <c r="F194" s="212">
        <v>45688</v>
      </c>
      <c r="G194" s="212">
        <v>411192</v>
      </c>
      <c r="H194" s="212">
        <v>702</v>
      </c>
      <c r="I194" s="212">
        <v>6318</v>
      </c>
      <c r="J194" s="212">
        <v>404874</v>
      </c>
    </row>
    <row r="195" spans="1:10" ht="14.1" customHeight="1" x14ac:dyDescent="0.15">
      <c r="A195" s="221"/>
      <c r="B195" s="221"/>
      <c r="C195" s="221"/>
      <c r="D195" s="210" t="s">
        <v>79</v>
      </c>
      <c r="E195" s="212">
        <v>1259</v>
      </c>
      <c r="F195" s="212">
        <v>27613</v>
      </c>
      <c r="G195" s="212">
        <v>34764767</v>
      </c>
      <c r="H195" s="212">
        <v>702</v>
      </c>
      <c r="I195" s="212">
        <v>883818</v>
      </c>
      <c r="J195" s="212">
        <v>33880949</v>
      </c>
    </row>
    <row r="196" spans="1:10" ht="14.1" customHeight="1" x14ac:dyDescent="0.15">
      <c r="A196" s="221"/>
      <c r="B196" s="221"/>
      <c r="C196" s="221"/>
      <c r="D196" s="210" t="s">
        <v>73</v>
      </c>
      <c r="E196" s="212">
        <v>1370</v>
      </c>
      <c r="F196" s="212">
        <v>13829</v>
      </c>
      <c r="G196" s="212">
        <v>18945730</v>
      </c>
      <c r="H196" s="212">
        <v>702</v>
      </c>
      <c r="I196" s="212">
        <v>961740</v>
      </c>
      <c r="J196" s="212">
        <v>17983990</v>
      </c>
    </row>
    <row r="197" spans="1:10" ht="14.1" customHeight="1" x14ac:dyDescent="0.15">
      <c r="A197" s="221"/>
      <c r="B197" s="221"/>
      <c r="C197" s="221"/>
      <c r="D197" s="210" t="s">
        <v>74</v>
      </c>
      <c r="E197" s="212">
        <v>84</v>
      </c>
      <c r="F197" s="212">
        <v>10742</v>
      </c>
      <c r="G197" s="212">
        <v>902328</v>
      </c>
      <c r="H197" s="212">
        <v>702</v>
      </c>
      <c r="I197" s="212">
        <v>58968</v>
      </c>
      <c r="J197" s="212">
        <v>843360</v>
      </c>
    </row>
    <row r="198" spans="1:10" ht="14.1" customHeight="1" x14ac:dyDescent="0.15">
      <c r="A198" s="221"/>
      <c r="B198" s="221"/>
      <c r="C198" s="221"/>
      <c r="D198" s="210" t="s">
        <v>71</v>
      </c>
      <c r="E198" s="212">
        <v>1730</v>
      </c>
      <c r="F198" s="212">
        <v>7531</v>
      </c>
      <c r="G198" s="212">
        <v>13028338</v>
      </c>
      <c r="H198" s="212">
        <v>702</v>
      </c>
      <c r="I198" s="212">
        <v>1214460</v>
      </c>
      <c r="J198" s="212">
        <v>11813878</v>
      </c>
    </row>
    <row r="199" spans="1:10" ht="14.1" customHeight="1" x14ac:dyDescent="0.15">
      <c r="A199" s="221"/>
      <c r="B199" s="221"/>
      <c r="C199" s="221"/>
      <c r="D199" s="210" t="s">
        <v>72</v>
      </c>
      <c r="E199" s="212">
        <v>87</v>
      </c>
      <c r="F199" s="212">
        <v>4953</v>
      </c>
      <c r="G199" s="212">
        <v>430911</v>
      </c>
      <c r="H199" s="212">
        <v>702</v>
      </c>
      <c r="I199" s="212">
        <v>61074</v>
      </c>
      <c r="J199" s="212">
        <v>369837</v>
      </c>
    </row>
    <row r="200" spans="1:10" ht="14.1" customHeight="1" x14ac:dyDescent="0.15">
      <c r="A200" s="221"/>
      <c r="B200" s="221"/>
      <c r="C200" s="221"/>
      <c r="D200" s="210" t="s">
        <v>82</v>
      </c>
      <c r="E200" s="212">
        <v>20</v>
      </c>
      <c r="F200" s="212">
        <v>3112</v>
      </c>
      <c r="G200" s="212">
        <v>62240</v>
      </c>
      <c r="H200" s="212">
        <v>702</v>
      </c>
      <c r="I200" s="212">
        <v>14040</v>
      </c>
      <c r="J200" s="212">
        <v>48200</v>
      </c>
    </row>
    <row r="201" spans="1:10" ht="14.1" customHeight="1" x14ac:dyDescent="0.15">
      <c r="A201" s="221"/>
      <c r="B201" s="221"/>
      <c r="C201" s="221"/>
      <c r="D201" s="210" t="s">
        <v>75</v>
      </c>
      <c r="E201" s="212">
        <v>25</v>
      </c>
      <c r="F201" s="212">
        <v>1907</v>
      </c>
      <c r="G201" s="212">
        <v>47675</v>
      </c>
      <c r="H201" s="212">
        <v>702</v>
      </c>
      <c r="I201" s="212">
        <v>17550</v>
      </c>
      <c r="J201" s="212">
        <v>30125</v>
      </c>
    </row>
    <row r="202" spans="1:10" ht="14.1" customHeight="1" x14ac:dyDescent="0.15">
      <c r="A202" s="221"/>
      <c r="B202" s="221"/>
      <c r="C202" s="221"/>
      <c r="D202" s="210" t="s">
        <v>69</v>
      </c>
      <c r="E202" s="212">
        <v>33</v>
      </c>
      <c r="F202" s="212">
        <v>24895</v>
      </c>
      <c r="G202" s="212">
        <v>821535</v>
      </c>
      <c r="H202" s="212">
        <v>702</v>
      </c>
      <c r="I202" s="212">
        <v>23166</v>
      </c>
      <c r="J202" s="212">
        <v>798369</v>
      </c>
    </row>
    <row r="203" spans="1:10" ht="14.1" customHeight="1" x14ac:dyDescent="0.15">
      <c r="A203" s="221"/>
      <c r="B203" s="221"/>
      <c r="C203" s="221"/>
      <c r="D203" s="210" t="s">
        <v>139</v>
      </c>
      <c r="E203" s="212">
        <v>536</v>
      </c>
      <c r="F203" s="212">
        <v>4799</v>
      </c>
      <c r="G203" s="212">
        <v>2572264</v>
      </c>
      <c r="H203" s="212">
        <v>702</v>
      </c>
      <c r="I203" s="212">
        <v>376272</v>
      </c>
      <c r="J203" s="212">
        <v>2195992</v>
      </c>
    </row>
    <row r="204" spans="1:10" ht="14.1" customHeight="1" x14ac:dyDescent="0.15">
      <c r="A204" s="221"/>
      <c r="B204" s="221"/>
      <c r="C204" s="221"/>
      <c r="D204" s="210" t="s">
        <v>140</v>
      </c>
      <c r="E204" s="212">
        <v>956</v>
      </c>
      <c r="F204" s="212">
        <v>5809</v>
      </c>
      <c r="G204" s="212">
        <v>5553175</v>
      </c>
      <c r="H204" s="212">
        <v>702</v>
      </c>
      <c r="I204" s="212">
        <v>671112</v>
      </c>
      <c r="J204" s="212">
        <v>4882063</v>
      </c>
    </row>
    <row r="205" spans="1:10" ht="14.1" customHeight="1" x14ac:dyDescent="0.15">
      <c r="A205" s="221"/>
      <c r="B205" s="220" t="s">
        <v>168</v>
      </c>
      <c r="C205" s="223" t="s">
        <v>67</v>
      </c>
      <c r="D205" s="210" t="s">
        <v>152</v>
      </c>
      <c r="E205" s="212">
        <v>1</v>
      </c>
      <c r="F205" s="212">
        <v>61212</v>
      </c>
      <c r="G205" s="212">
        <v>61212</v>
      </c>
      <c r="H205" s="212">
        <v>925</v>
      </c>
      <c r="I205" s="212">
        <v>925</v>
      </c>
      <c r="J205" s="212">
        <v>60287</v>
      </c>
    </row>
    <row r="206" spans="1:10" ht="14.1" customHeight="1" x14ac:dyDescent="0.15">
      <c r="A206" s="221"/>
      <c r="B206" s="221"/>
      <c r="C206" s="221"/>
      <c r="D206" s="210" t="s">
        <v>144</v>
      </c>
      <c r="E206" s="212">
        <v>10</v>
      </c>
      <c r="F206" s="212">
        <v>44986</v>
      </c>
      <c r="G206" s="212">
        <v>449860</v>
      </c>
      <c r="H206" s="212">
        <v>925</v>
      </c>
      <c r="I206" s="212">
        <v>9250</v>
      </c>
      <c r="J206" s="212">
        <v>440610</v>
      </c>
    </row>
    <row r="207" spans="1:10" ht="14.1" customHeight="1" x14ac:dyDescent="0.15">
      <c r="A207" s="221"/>
      <c r="B207" s="221"/>
      <c r="C207" s="221"/>
      <c r="D207" s="210" t="s">
        <v>154</v>
      </c>
      <c r="E207" s="212">
        <v>22</v>
      </c>
      <c r="F207" s="212">
        <v>44986</v>
      </c>
      <c r="G207" s="212">
        <v>989692</v>
      </c>
      <c r="H207" s="212">
        <v>925</v>
      </c>
      <c r="I207" s="212">
        <v>20350</v>
      </c>
      <c r="J207" s="212">
        <v>969342</v>
      </c>
    </row>
    <row r="208" spans="1:10" ht="14.1" customHeight="1" x14ac:dyDescent="0.15">
      <c r="A208" s="221"/>
      <c r="B208" s="221"/>
      <c r="C208" s="221"/>
      <c r="D208" s="210" t="s">
        <v>145</v>
      </c>
      <c r="E208" s="212">
        <v>76</v>
      </c>
      <c r="F208" s="212">
        <v>26911</v>
      </c>
      <c r="G208" s="212">
        <v>2045236</v>
      </c>
      <c r="H208" s="212">
        <v>925</v>
      </c>
      <c r="I208" s="212">
        <v>70300</v>
      </c>
      <c r="J208" s="212">
        <v>1974936</v>
      </c>
    </row>
    <row r="209" spans="1:10" ht="14.1" customHeight="1" x14ac:dyDescent="0.15">
      <c r="A209" s="221"/>
      <c r="B209" s="221"/>
      <c r="C209" s="221"/>
      <c r="D209" s="210" t="s">
        <v>85</v>
      </c>
      <c r="E209" s="212">
        <v>264</v>
      </c>
      <c r="F209" s="212">
        <v>26911</v>
      </c>
      <c r="G209" s="212">
        <v>7104504</v>
      </c>
      <c r="H209" s="212">
        <v>925</v>
      </c>
      <c r="I209" s="212">
        <v>244200</v>
      </c>
      <c r="J209" s="212">
        <v>6860304</v>
      </c>
    </row>
    <row r="210" spans="1:10" ht="14.1" customHeight="1" x14ac:dyDescent="0.15">
      <c r="A210" s="221"/>
      <c r="B210" s="221"/>
      <c r="C210" s="221"/>
      <c r="D210" s="210" t="s">
        <v>141</v>
      </c>
      <c r="E210" s="212">
        <v>76</v>
      </c>
      <c r="F210" s="212">
        <v>13127</v>
      </c>
      <c r="G210" s="212">
        <v>997652</v>
      </c>
      <c r="H210" s="212">
        <v>925</v>
      </c>
      <c r="I210" s="212">
        <v>70300</v>
      </c>
      <c r="J210" s="212">
        <v>927352</v>
      </c>
    </row>
    <row r="211" spans="1:10" ht="14.1" customHeight="1" x14ac:dyDescent="0.15">
      <c r="A211" s="221"/>
      <c r="B211" s="221"/>
      <c r="C211" s="221"/>
      <c r="D211" s="210" t="s">
        <v>78</v>
      </c>
      <c r="E211" s="212">
        <v>287</v>
      </c>
      <c r="F211" s="212">
        <v>13127</v>
      </c>
      <c r="G211" s="212">
        <v>3767449</v>
      </c>
      <c r="H211" s="212">
        <v>925</v>
      </c>
      <c r="I211" s="212">
        <v>265475</v>
      </c>
      <c r="J211" s="212">
        <v>3501974</v>
      </c>
    </row>
    <row r="212" spans="1:10" ht="14.1" customHeight="1" x14ac:dyDescent="0.15">
      <c r="A212" s="221"/>
      <c r="B212" s="221"/>
      <c r="C212" s="221"/>
      <c r="D212" s="210" t="s">
        <v>146</v>
      </c>
      <c r="E212" s="212">
        <v>103</v>
      </c>
      <c r="F212" s="212">
        <v>10040</v>
      </c>
      <c r="G212" s="212">
        <v>1034120</v>
      </c>
      <c r="H212" s="212">
        <v>925</v>
      </c>
      <c r="I212" s="212">
        <v>95275</v>
      </c>
      <c r="J212" s="212">
        <v>938845</v>
      </c>
    </row>
    <row r="213" spans="1:10" ht="14.1" customHeight="1" x14ac:dyDescent="0.15">
      <c r="A213" s="221"/>
      <c r="B213" s="221"/>
      <c r="C213" s="221"/>
      <c r="D213" s="210" t="s">
        <v>83</v>
      </c>
      <c r="E213" s="212">
        <v>438</v>
      </c>
      <c r="F213" s="212">
        <v>10040</v>
      </c>
      <c r="G213" s="212">
        <v>4397520</v>
      </c>
      <c r="H213" s="212">
        <v>925</v>
      </c>
      <c r="I213" s="212">
        <v>405150</v>
      </c>
      <c r="J213" s="212">
        <v>3992370</v>
      </c>
    </row>
    <row r="214" spans="1:10" ht="14.1" customHeight="1" x14ac:dyDescent="0.15">
      <c r="A214" s="221"/>
      <c r="B214" s="221"/>
      <c r="C214" s="221"/>
      <c r="D214" s="210" t="s">
        <v>136</v>
      </c>
      <c r="E214" s="212">
        <v>151</v>
      </c>
      <c r="F214" s="212">
        <v>6828</v>
      </c>
      <c r="G214" s="212">
        <v>1031028</v>
      </c>
      <c r="H214" s="212">
        <v>925</v>
      </c>
      <c r="I214" s="212">
        <v>139675</v>
      </c>
      <c r="J214" s="212">
        <v>891353</v>
      </c>
    </row>
    <row r="215" spans="1:10" ht="14.1" customHeight="1" x14ac:dyDescent="0.15">
      <c r="A215" s="221"/>
      <c r="B215" s="221"/>
      <c r="C215" s="221"/>
      <c r="D215" s="210" t="s">
        <v>77</v>
      </c>
      <c r="E215" s="212">
        <v>1672</v>
      </c>
      <c r="F215" s="212">
        <v>6828</v>
      </c>
      <c r="G215" s="212">
        <v>11416416</v>
      </c>
      <c r="H215" s="212">
        <v>925</v>
      </c>
      <c r="I215" s="212">
        <v>1546600</v>
      </c>
      <c r="J215" s="212">
        <v>9869816</v>
      </c>
    </row>
    <row r="216" spans="1:10" ht="14.1" customHeight="1" x14ac:dyDescent="0.15">
      <c r="A216" s="221"/>
      <c r="B216" s="221"/>
      <c r="C216" s="221"/>
      <c r="D216" s="210" t="s">
        <v>149</v>
      </c>
      <c r="E216" s="212">
        <v>15</v>
      </c>
      <c r="F216" s="212">
        <v>4251</v>
      </c>
      <c r="G216" s="212">
        <v>63765</v>
      </c>
      <c r="H216" s="212">
        <v>925</v>
      </c>
      <c r="I216" s="212">
        <v>13875</v>
      </c>
      <c r="J216" s="212">
        <v>49890</v>
      </c>
    </row>
    <row r="217" spans="1:10" ht="14.1" customHeight="1" x14ac:dyDescent="0.15">
      <c r="A217" s="221"/>
      <c r="B217" s="221"/>
      <c r="C217" s="221"/>
      <c r="D217" s="210" t="s">
        <v>86</v>
      </c>
      <c r="E217" s="212">
        <v>108</v>
      </c>
      <c r="F217" s="212">
        <v>4251</v>
      </c>
      <c r="G217" s="212">
        <v>459108</v>
      </c>
      <c r="H217" s="212">
        <v>925</v>
      </c>
      <c r="I217" s="212">
        <v>99900</v>
      </c>
      <c r="J217" s="212">
        <v>359208</v>
      </c>
    </row>
    <row r="218" spans="1:10" ht="14.1" customHeight="1" x14ac:dyDescent="0.15">
      <c r="A218" s="221"/>
      <c r="B218" s="221"/>
      <c r="C218" s="221"/>
      <c r="D218" s="210" t="s">
        <v>147</v>
      </c>
      <c r="E218" s="212">
        <v>8</v>
      </c>
      <c r="F218" s="212">
        <v>2410</v>
      </c>
      <c r="G218" s="212">
        <v>19280</v>
      </c>
      <c r="H218" s="212">
        <v>925</v>
      </c>
      <c r="I218" s="212">
        <v>7400</v>
      </c>
      <c r="J218" s="212">
        <v>11880</v>
      </c>
    </row>
    <row r="219" spans="1:10" ht="14.1" customHeight="1" x14ac:dyDescent="0.15">
      <c r="A219" s="221"/>
      <c r="B219" s="221"/>
      <c r="C219" s="221"/>
      <c r="D219" s="210" t="s">
        <v>84</v>
      </c>
      <c r="E219" s="212">
        <v>120</v>
      </c>
      <c r="F219" s="212">
        <v>2410</v>
      </c>
      <c r="G219" s="212">
        <v>289200</v>
      </c>
      <c r="H219" s="212">
        <v>925</v>
      </c>
      <c r="I219" s="212">
        <v>111000</v>
      </c>
      <c r="J219" s="212">
        <v>178200</v>
      </c>
    </row>
    <row r="220" spans="1:10" ht="14.1" customHeight="1" x14ac:dyDescent="0.15">
      <c r="A220" s="221"/>
      <c r="B220" s="221"/>
      <c r="C220" s="221"/>
      <c r="D220" s="210" t="s">
        <v>148</v>
      </c>
      <c r="E220" s="212">
        <v>2</v>
      </c>
      <c r="F220" s="212">
        <v>1205</v>
      </c>
      <c r="G220" s="212">
        <v>2410</v>
      </c>
      <c r="H220" s="212">
        <v>925</v>
      </c>
      <c r="I220" s="212">
        <v>1850</v>
      </c>
      <c r="J220" s="212">
        <v>560</v>
      </c>
    </row>
    <row r="221" spans="1:10" ht="14.1" customHeight="1" x14ac:dyDescent="0.15">
      <c r="A221" s="221"/>
      <c r="B221" s="221"/>
      <c r="C221" s="221"/>
      <c r="D221" s="210" t="s">
        <v>89</v>
      </c>
      <c r="E221" s="212">
        <v>9</v>
      </c>
      <c r="F221" s="212">
        <v>1205</v>
      </c>
      <c r="G221" s="212">
        <v>10845</v>
      </c>
      <c r="H221" s="212">
        <v>925</v>
      </c>
      <c r="I221" s="212">
        <v>8325</v>
      </c>
      <c r="J221" s="212">
        <v>2520</v>
      </c>
    </row>
    <row r="222" spans="1:10" ht="14.1" customHeight="1" x14ac:dyDescent="0.15">
      <c r="A222" s="221"/>
      <c r="B222" s="221"/>
      <c r="C222" s="221"/>
      <c r="D222" s="210" t="s">
        <v>102</v>
      </c>
      <c r="E222" s="212">
        <v>3</v>
      </c>
      <c r="F222" s="212">
        <v>542</v>
      </c>
      <c r="G222" s="212">
        <v>1626</v>
      </c>
      <c r="H222" s="212">
        <v>925</v>
      </c>
      <c r="I222" s="212">
        <v>2775</v>
      </c>
      <c r="J222" s="212">
        <v>-1149</v>
      </c>
    </row>
    <row r="223" spans="1:10" ht="29.1" customHeight="1" x14ac:dyDescent="0.15">
      <c r="A223" s="221"/>
      <c r="B223" s="221"/>
      <c r="C223" s="222" t="s">
        <v>159</v>
      </c>
      <c r="D223" s="210" t="s">
        <v>101</v>
      </c>
      <c r="E223" s="212">
        <v>23</v>
      </c>
      <c r="F223" s="212">
        <v>46407</v>
      </c>
      <c r="G223" s="212">
        <v>1067361</v>
      </c>
      <c r="H223" s="212">
        <v>2346</v>
      </c>
      <c r="I223" s="212">
        <v>53958</v>
      </c>
      <c r="J223" s="212">
        <v>1013403</v>
      </c>
    </row>
    <row r="224" spans="1:10" ht="14.1" customHeight="1" x14ac:dyDescent="0.15">
      <c r="A224" s="221"/>
      <c r="B224" s="221"/>
      <c r="C224" s="221"/>
      <c r="D224" s="210" t="s">
        <v>79</v>
      </c>
      <c r="E224" s="212">
        <v>311</v>
      </c>
      <c r="F224" s="212">
        <v>28332</v>
      </c>
      <c r="G224" s="212">
        <v>8811252</v>
      </c>
      <c r="H224" s="212">
        <v>2346</v>
      </c>
      <c r="I224" s="212">
        <v>729606</v>
      </c>
      <c r="J224" s="212">
        <v>8081646</v>
      </c>
    </row>
    <row r="225" spans="1:10" ht="14.1" customHeight="1" x14ac:dyDescent="0.15">
      <c r="A225" s="221"/>
      <c r="B225" s="221"/>
      <c r="C225" s="221"/>
      <c r="D225" s="210" t="s">
        <v>73</v>
      </c>
      <c r="E225" s="212">
        <v>84</v>
      </c>
      <c r="F225" s="212">
        <v>14548</v>
      </c>
      <c r="G225" s="212">
        <v>1222032</v>
      </c>
      <c r="H225" s="212">
        <v>2346</v>
      </c>
      <c r="I225" s="212">
        <v>197064</v>
      </c>
      <c r="J225" s="212">
        <v>1024968</v>
      </c>
    </row>
    <row r="226" spans="1:10" ht="14.1" customHeight="1" x14ac:dyDescent="0.15">
      <c r="A226" s="221"/>
      <c r="B226" s="221"/>
      <c r="C226" s="221"/>
      <c r="D226" s="210" t="s">
        <v>74</v>
      </c>
      <c r="E226" s="212">
        <v>85</v>
      </c>
      <c r="F226" s="212">
        <v>11461</v>
      </c>
      <c r="G226" s="212">
        <v>974185</v>
      </c>
      <c r="H226" s="212">
        <v>2346</v>
      </c>
      <c r="I226" s="212">
        <v>199410</v>
      </c>
      <c r="J226" s="212">
        <v>774775</v>
      </c>
    </row>
    <row r="227" spans="1:10" ht="14.1" customHeight="1" x14ac:dyDescent="0.15">
      <c r="A227" s="221"/>
      <c r="B227" s="221"/>
      <c r="C227" s="221"/>
      <c r="D227" s="210" t="s">
        <v>71</v>
      </c>
      <c r="E227" s="212">
        <v>1319</v>
      </c>
      <c r="F227" s="212">
        <v>8249</v>
      </c>
      <c r="G227" s="212">
        <v>10880431</v>
      </c>
      <c r="H227" s="212">
        <v>2346</v>
      </c>
      <c r="I227" s="212">
        <v>3094374</v>
      </c>
      <c r="J227" s="212">
        <v>7786057</v>
      </c>
    </row>
    <row r="228" spans="1:10" ht="14.1" customHeight="1" x14ac:dyDescent="0.15">
      <c r="A228" s="221"/>
      <c r="B228" s="221"/>
      <c r="C228" s="221"/>
      <c r="D228" s="210" t="s">
        <v>72</v>
      </c>
      <c r="E228" s="212">
        <v>20</v>
      </c>
      <c r="F228" s="212">
        <v>5672</v>
      </c>
      <c r="G228" s="212">
        <v>113440</v>
      </c>
      <c r="H228" s="212">
        <v>2346</v>
      </c>
      <c r="I228" s="212">
        <v>46920</v>
      </c>
      <c r="J228" s="212">
        <v>66520</v>
      </c>
    </row>
    <row r="229" spans="1:10" ht="14.1" customHeight="1" x14ac:dyDescent="0.15">
      <c r="A229" s="221"/>
      <c r="B229" s="221"/>
      <c r="C229" s="221"/>
      <c r="D229" s="210" t="s">
        <v>82</v>
      </c>
      <c r="E229" s="212">
        <v>69</v>
      </c>
      <c r="F229" s="212">
        <v>3831</v>
      </c>
      <c r="G229" s="212">
        <v>264339</v>
      </c>
      <c r="H229" s="212">
        <v>2346</v>
      </c>
      <c r="I229" s="212">
        <v>161874</v>
      </c>
      <c r="J229" s="212">
        <v>102465</v>
      </c>
    </row>
    <row r="230" spans="1:10" ht="14.1" customHeight="1" x14ac:dyDescent="0.15">
      <c r="A230" s="221"/>
      <c r="B230" s="221"/>
      <c r="C230" s="221"/>
      <c r="D230" s="210" t="s">
        <v>75</v>
      </c>
      <c r="E230" s="212">
        <v>14</v>
      </c>
      <c r="F230" s="212">
        <v>2626</v>
      </c>
      <c r="G230" s="212">
        <v>36764</v>
      </c>
      <c r="H230" s="212">
        <v>2346</v>
      </c>
      <c r="I230" s="212">
        <v>32844</v>
      </c>
      <c r="J230" s="212">
        <v>3920</v>
      </c>
    </row>
    <row r="231" spans="1:10" ht="29.1" customHeight="1" x14ac:dyDescent="0.15">
      <c r="A231" s="221"/>
      <c r="B231" s="221"/>
      <c r="C231" s="222" t="s">
        <v>161</v>
      </c>
      <c r="D231" s="210" t="s">
        <v>88</v>
      </c>
      <c r="E231" s="212">
        <v>18</v>
      </c>
      <c r="F231" s="212">
        <v>61914</v>
      </c>
      <c r="G231" s="212">
        <v>1114452</v>
      </c>
      <c r="H231" s="212">
        <v>1627</v>
      </c>
      <c r="I231" s="212">
        <v>29286</v>
      </c>
      <c r="J231" s="212">
        <v>1085166</v>
      </c>
    </row>
    <row r="232" spans="1:10" ht="14.1" customHeight="1" x14ac:dyDescent="0.15">
      <c r="A232" s="221"/>
      <c r="B232" s="221"/>
      <c r="C232" s="221"/>
      <c r="D232" s="210" t="s">
        <v>101</v>
      </c>
      <c r="E232" s="212">
        <v>747</v>
      </c>
      <c r="F232" s="212">
        <v>45689</v>
      </c>
      <c r="G232" s="212">
        <v>34129655</v>
      </c>
      <c r="H232" s="212">
        <v>1627</v>
      </c>
      <c r="I232" s="212">
        <v>1215369</v>
      </c>
      <c r="J232" s="212">
        <v>32914286</v>
      </c>
    </row>
    <row r="233" spans="1:10" ht="14.1" customHeight="1" x14ac:dyDescent="0.15">
      <c r="A233" s="221"/>
      <c r="B233" s="221"/>
      <c r="C233" s="221"/>
      <c r="D233" s="210" t="s">
        <v>79</v>
      </c>
      <c r="E233" s="212">
        <v>5241</v>
      </c>
      <c r="F233" s="212">
        <v>27621</v>
      </c>
      <c r="G233" s="212">
        <v>144759997</v>
      </c>
      <c r="H233" s="212">
        <v>1627</v>
      </c>
      <c r="I233" s="212">
        <v>8527107</v>
      </c>
      <c r="J233" s="212">
        <v>136232890</v>
      </c>
    </row>
    <row r="234" spans="1:10" ht="14.1" customHeight="1" x14ac:dyDescent="0.15">
      <c r="A234" s="221"/>
      <c r="B234" s="221"/>
      <c r="C234" s="221"/>
      <c r="D234" s="210" t="s">
        <v>73</v>
      </c>
      <c r="E234" s="212">
        <v>5461</v>
      </c>
      <c r="F234" s="212">
        <v>13833</v>
      </c>
      <c r="G234" s="212">
        <v>75541020</v>
      </c>
      <c r="H234" s="212">
        <v>1627</v>
      </c>
      <c r="I234" s="212">
        <v>8885047</v>
      </c>
      <c r="J234" s="212">
        <v>66655973</v>
      </c>
    </row>
    <row r="235" spans="1:10" ht="14.1" customHeight="1" x14ac:dyDescent="0.15">
      <c r="A235" s="221"/>
      <c r="B235" s="221"/>
      <c r="C235" s="221"/>
      <c r="D235" s="210" t="s">
        <v>74</v>
      </c>
      <c r="E235" s="212">
        <v>8045</v>
      </c>
      <c r="F235" s="212">
        <v>10746</v>
      </c>
      <c r="G235" s="212">
        <v>86448150</v>
      </c>
      <c r="H235" s="212">
        <v>1627</v>
      </c>
      <c r="I235" s="212">
        <v>13089215</v>
      </c>
      <c r="J235" s="212">
        <v>73358935</v>
      </c>
    </row>
    <row r="236" spans="1:10" ht="14.1" customHeight="1" x14ac:dyDescent="0.15">
      <c r="A236" s="221"/>
      <c r="B236" s="221"/>
      <c r="C236" s="221"/>
      <c r="D236" s="210" t="s">
        <v>71</v>
      </c>
      <c r="E236" s="212">
        <v>12830</v>
      </c>
      <c r="F236" s="212">
        <v>7553</v>
      </c>
      <c r="G236" s="212">
        <v>96901814</v>
      </c>
      <c r="H236" s="212">
        <v>1627</v>
      </c>
      <c r="I236" s="212">
        <v>20874410</v>
      </c>
      <c r="J236" s="212">
        <v>76027404</v>
      </c>
    </row>
    <row r="237" spans="1:10" ht="14.1" customHeight="1" x14ac:dyDescent="0.15">
      <c r="A237" s="221"/>
      <c r="B237" s="221"/>
      <c r="C237" s="221"/>
      <c r="D237" s="210" t="s">
        <v>72</v>
      </c>
      <c r="E237" s="212">
        <v>1313</v>
      </c>
      <c r="F237" s="212">
        <v>4953</v>
      </c>
      <c r="G237" s="212">
        <v>6503289</v>
      </c>
      <c r="H237" s="212">
        <v>1627</v>
      </c>
      <c r="I237" s="212">
        <v>2136251</v>
      </c>
      <c r="J237" s="212">
        <v>4367038</v>
      </c>
    </row>
    <row r="238" spans="1:10" ht="14.1" customHeight="1" x14ac:dyDescent="0.15">
      <c r="A238" s="221"/>
      <c r="B238" s="221"/>
      <c r="C238" s="221"/>
      <c r="D238" s="210" t="s">
        <v>82</v>
      </c>
      <c r="E238" s="212">
        <v>729</v>
      </c>
      <c r="F238" s="212">
        <v>3112</v>
      </c>
      <c r="G238" s="212">
        <v>2268648</v>
      </c>
      <c r="H238" s="212">
        <v>1627</v>
      </c>
      <c r="I238" s="212">
        <v>1186083</v>
      </c>
      <c r="J238" s="212">
        <v>1082565</v>
      </c>
    </row>
    <row r="239" spans="1:10" ht="14.1" customHeight="1" x14ac:dyDescent="0.15">
      <c r="A239" s="221"/>
      <c r="B239" s="221"/>
      <c r="C239" s="221"/>
      <c r="D239" s="210" t="s">
        <v>75</v>
      </c>
      <c r="E239" s="212">
        <v>219</v>
      </c>
      <c r="F239" s="212">
        <v>1907</v>
      </c>
      <c r="G239" s="212">
        <v>417633</v>
      </c>
      <c r="H239" s="212">
        <v>1627</v>
      </c>
      <c r="I239" s="212">
        <v>356313</v>
      </c>
      <c r="J239" s="212">
        <v>61320</v>
      </c>
    </row>
    <row r="240" spans="1:10" ht="14.1" customHeight="1" x14ac:dyDescent="0.15">
      <c r="A240" s="221" t="s">
        <v>2</v>
      </c>
      <c r="B240" s="221" t="s">
        <v>53</v>
      </c>
      <c r="C240" s="221"/>
      <c r="D240" s="221"/>
      <c r="E240" s="212">
        <v>3164</v>
      </c>
      <c r="F240" s="212">
        <v>172575</v>
      </c>
      <c r="G240" s="212">
        <v>33630802</v>
      </c>
      <c r="H240" s="212"/>
      <c r="I240" s="212">
        <v>4161726</v>
      </c>
      <c r="J240" s="212">
        <v>29469076</v>
      </c>
    </row>
    <row r="241" spans="1:10" ht="14.1" customHeight="1" x14ac:dyDescent="0.15">
      <c r="A241" s="221"/>
      <c r="B241" s="210" t="s">
        <v>63</v>
      </c>
      <c r="C241" s="210" t="s">
        <v>64</v>
      </c>
      <c r="D241" s="210" t="s">
        <v>65</v>
      </c>
      <c r="E241" s="218">
        <v>25</v>
      </c>
      <c r="F241" s="218">
        <v>10139</v>
      </c>
      <c r="G241" s="218">
        <v>253475</v>
      </c>
      <c r="H241" s="218">
        <v>0</v>
      </c>
      <c r="I241" s="218">
        <v>0</v>
      </c>
      <c r="J241" s="218">
        <v>253475</v>
      </c>
    </row>
    <row r="242" spans="1:10" ht="14.1" customHeight="1" x14ac:dyDescent="0.15">
      <c r="A242" s="221"/>
      <c r="B242" s="220" t="s">
        <v>66</v>
      </c>
      <c r="C242" s="223" t="s">
        <v>67</v>
      </c>
      <c r="D242" s="210" t="s">
        <v>134</v>
      </c>
      <c r="E242" s="219"/>
      <c r="F242" s="219"/>
      <c r="G242" s="219"/>
      <c r="H242" s="219"/>
      <c r="I242" s="219"/>
      <c r="J242" s="219"/>
    </row>
    <row r="243" spans="1:10" ht="14.1" customHeight="1" x14ac:dyDescent="0.15">
      <c r="A243" s="221"/>
      <c r="B243" s="221"/>
      <c r="C243" s="221"/>
      <c r="D243" s="210" t="s">
        <v>132</v>
      </c>
      <c r="E243" s="212">
        <v>4</v>
      </c>
      <c r="F243" s="212">
        <v>10139</v>
      </c>
      <c r="G243" s="212">
        <v>40556</v>
      </c>
      <c r="H243" s="212">
        <v>0</v>
      </c>
      <c r="I243" s="212">
        <v>0</v>
      </c>
      <c r="J243" s="212">
        <v>40556</v>
      </c>
    </row>
    <row r="244" spans="1:10" ht="29.1" customHeight="1" x14ac:dyDescent="0.15">
      <c r="A244" s="221"/>
      <c r="B244" s="221"/>
      <c r="C244" s="209" t="s">
        <v>159</v>
      </c>
      <c r="D244" s="210" t="s">
        <v>133</v>
      </c>
      <c r="E244" s="212">
        <v>2</v>
      </c>
      <c r="F244" s="212">
        <v>11560</v>
      </c>
      <c r="G244" s="212">
        <v>23120</v>
      </c>
      <c r="H244" s="212">
        <v>2346</v>
      </c>
      <c r="I244" s="212">
        <v>4692</v>
      </c>
      <c r="J244" s="212">
        <v>18428</v>
      </c>
    </row>
    <row r="245" spans="1:10" ht="29.1" customHeight="1" x14ac:dyDescent="0.15">
      <c r="A245" s="221"/>
      <c r="B245" s="221"/>
      <c r="C245" s="209" t="s">
        <v>161</v>
      </c>
      <c r="D245" s="210" t="s">
        <v>133</v>
      </c>
      <c r="E245" s="212">
        <v>2111</v>
      </c>
      <c r="F245" s="212">
        <v>10841</v>
      </c>
      <c r="G245" s="212">
        <v>22885351</v>
      </c>
      <c r="H245" s="212">
        <v>1627</v>
      </c>
      <c r="I245" s="212">
        <v>3434597</v>
      </c>
      <c r="J245" s="212">
        <v>19450754</v>
      </c>
    </row>
    <row r="246" spans="1:10" ht="42.95" customHeight="1" x14ac:dyDescent="0.15">
      <c r="A246" s="221"/>
      <c r="B246" s="222" t="s">
        <v>215</v>
      </c>
      <c r="C246" s="223" t="s">
        <v>67</v>
      </c>
      <c r="D246" s="210" t="s">
        <v>85</v>
      </c>
      <c r="E246" s="212">
        <v>1</v>
      </c>
      <c r="F246" s="212">
        <v>26911</v>
      </c>
      <c r="G246" s="212">
        <v>26911</v>
      </c>
      <c r="H246" s="212">
        <v>0</v>
      </c>
      <c r="I246" s="212">
        <v>0</v>
      </c>
      <c r="J246" s="212">
        <v>26911</v>
      </c>
    </row>
    <row r="247" spans="1:10" ht="14.1" customHeight="1" x14ac:dyDescent="0.15">
      <c r="A247" s="221"/>
      <c r="B247" s="221"/>
      <c r="C247" s="221"/>
      <c r="D247" s="210" t="s">
        <v>141</v>
      </c>
      <c r="E247" s="212">
        <v>1</v>
      </c>
      <c r="F247" s="212">
        <v>13127</v>
      </c>
      <c r="G247" s="212">
        <v>13127</v>
      </c>
      <c r="H247" s="212">
        <v>0</v>
      </c>
      <c r="I247" s="212">
        <v>0</v>
      </c>
      <c r="J247" s="212">
        <v>13127</v>
      </c>
    </row>
    <row r="248" spans="1:10" ht="14.1" customHeight="1" x14ac:dyDescent="0.15">
      <c r="A248" s="221"/>
      <c r="B248" s="221"/>
      <c r="C248" s="221"/>
      <c r="D248" s="210" t="s">
        <v>78</v>
      </c>
      <c r="E248" s="212">
        <v>1</v>
      </c>
      <c r="F248" s="212">
        <v>13127</v>
      </c>
      <c r="G248" s="212">
        <v>13127</v>
      </c>
      <c r="H248" s="212">
        <v>0</v>
      </c>
      <c r="I248" s="212">
        <v>0</v>
      </c>
      <c r="J248" s="212">
        <v>13127</v>
      </c>
    </row>
    <row r="249" spans="1:10" ht="14.1" customHeight="1" x14ac:dyDescent="0.15">
      <c r="A249" s="221"/>
      <c r="B249" s="221"/>
      <c r="C249" s="221"/>
      <c r="D249" s="210" t="s">
        <v>142</v>
      </c>
      <c r="E249" s="212">
        <v>1</v>
      </c>
      <c r="F249" s="212">
        <v>4097</v>
      </c>
      <c r="G249" s="212">
        <v>4097</v>
      </c>
      <c r="H249" s="212">
        <v>0</v>
      </c>
      <c r="I249" s="212">
        <v>0</v>
      </c>
      <c r="J249" s="212">
        <v>4097</v>
      </c>
    </row>
    <row r="250" spans="1:10" ht="29.1" customHeight="1" x14ac:dyDescent="0.15">
      <c r="A250" s="221"/>
      <c r="B250" s="221"/>
      <c r="C250" s="209" t="s">
        <v>159</v>
      </c>
      <c r="D250" s="210" t="s">
        <v>70</v>
      </c>
      <c r="E250" s="212">
        <v>9</v>
      </c>
      <c r="F250" s="212">
        <v>3986</v>
      </c>
      <c r="G250" s="212">
        <v>35874</v>
      </c>
      <c r="H250" s="212">
        <v>1421</v>
      </c>
      <c r="I250" s="212">
        <v>12789</v>
      </c>
      <c r="J250" s="212">
        <v>23085</v>
      </c>
    </row>
    <row r="251" spans="1:10" ht="29.1" customHeight="1" x14ac:dyDescent="0.15">
      <c r="A251" s="221"/>
      <c r="B251" s="221"/>
      <c r="C251" s="209" t="s">
        <v>160</v>
      </c>
      <c r="D251" s="210" t="s">
        <v>140</v>
      </c>
      <c r="E251" s="212">
        <v>2</v>
      </c>
      <c r="F251" s="212">
        <v>5805</v>
      </c>
      <c r="G251" s="212">
        <v>11610</v>
      </c>
      <c r="H251" s="212">
        <v>1367</v>
      </c>
      <c r="I251" s="212">
        <v>2734</v>
      </c>
      <c r="J251" s="212">
        <v>8876</v>
      </c>
    </row>
    <row r="252" spans="1:10" ht="29.1" customHeight="1" x14ac:dyDescent="0.15">
      <c r="A252" s="221"/>
      <c r="B252" s="221"/>
      <c r="C252" s="222" t="s">
        <v>161</v>
      </c>
      <c r="D252" s="210" t="s">
        <v>70</v>
      </c>
      <c r="E252" s="212">
        <v>335</v>
      </c>
      <c r="F252" s="212">
        <v>3267</v>
      </c>
      <c r="G252" s="212">
        <v>1094445</v>
      </c>
      <c r="H252" s="212">
        <v>702</v>
      </c>
      <c r="I252" s="212">
        <v>235170</v>
      </c>
      <c r="J252" s="212">
        <v>859275</v>
      </c>
    </row>
    <row r="253" spans="1:10" ht="14.1" customHeight="1" x14ac:dyDescent="0.15">
      <c r="A253" s="221"/>
      <c r="B253" s="221"/>
      <c r="C253" s="221"/>
      <c r="D253" s="210" t="s">
        <v>79</v>
      </c>
      <c r="E253" s="212">
        <v>15</v>
      </c>
      <c r="F253" s="212">
        <v>27613</v>
      </c>
      <c r="G253" s="212">
        <v>414195</v>
      </c>
      <c r="H253" s="212">
        <v>702</v>
      </c>
      <c r="I253" s="212">
        <v>10530</v>
      </c>
      <c r="J253" s="212">
        <v>403665</v>
      </c>
    </row>
    <row r="254" spans="1:10" ht="14.1" customHeight="1" x14ac:dyDescent="0.15">
      <c r="A254" s="221"/>
      <c r="B254" s="221"/>
      <c r="C254" s="221"/>
      <c r="D254" s="210" t="s">
        <v>73</v>
      </c>
      <c r="E254" s="212">
        <v>615</v>
      </c>
      <c r="F254" s="212">
        <v>13829</v>
      </c>
      <c r="G254" s="212">
        <v>8504835</v>
      </c>
      <c r="H254" s="212">
        <v>702</v>
      </c>
      <c r="I254" s="212">
        <v>431730</v>
      </c>
      <c r="J254" s="212">
        <v>8073105</v>
      </c>
    </row>
    <row r="255" spans="1:10" ht="14.1" customHeight="1" x14ac:dyDescent="0.15">
      <c r="A255" s="221"/>
      <c r="B255" s="221"/>
      <c r="C255" s="221"/>
      <c r="D255" s="210" t="s">
        <v>71</v>
      </c>
      <c r="E255" s="212">
        <v>39</v>
      </c>
      <c r="F255" s="212">
        <v>7530</v>
      </c>
      <c r="G255" s="212">
        <v>293670</v>
      </c>
      <c r="H255" s="212">
        <v>702</v>
      </c>
      <c r="I255" s="212">
        <v>27378</v>
      </c>
      <c r="J255" s="212">
        <v>266292</v>
      </c>
    </row>
    <row r="256" spans="1:10" ht="14.1" customHeight="1" x14ac:dyDescent="0.15">
      <c r="A256" s="221"/>
      <c r="B256" s="221"/>
      <c r="C256" s="221"/>
      <c r="D256" s="210" t="s">
        <v>139</v>
      </c>
      <c r="E256" s="212">
        <v>1</v>
      </c>
      <c r="F256" s="212">
        <v>4799</v>
      </c>
      <c r="G256" s="212">
        <v>4799</v>
      </c>
      <c r="H256" s="212">
        <v>702</v>
      </c>
      <c r="I256" s="212">
        <v>702</v>
      </c>
      <c r="J256" s="212">
        <v>4097</v>
      </c>
    </row>
    <row r="257" spans="1:10" ht="14.1" customHeight="1" x14ac:dyDescent="0.15">
      <c r="A257" s="221"/>
      <c r="B257" s="221"/>
      <c r="C257" s="221"/>
      <c r="D257" s="210" t="s">
        <v>140</v>
      </c>
      <c r="E257" s="212">
        <v>2</v>
      </c>
      <c r="F257" s="212">
        <v>5805</v>
      </c>
      <c r="G257" s="212">
        <v>11610</v>
      </c>
      <c r="H257" s="212">
        <v>702</v>
      </c>
      <c r="I257" s="212">
        <v>1404</v>
      </c>
      <c r="J257" s="212">
        <v>10206</v>
      </c>
    </row>
    <row r="258" spans="1:10" ht="29.1" customHeight="1" x14ac:dyDescent="0.15">
      <c r="A258" s="222" t="s">
        <v>216</v>
      </c>
      <c r="B258" s="221" t="s">
        <v>53</v>
      </c>
      <c r="C258" s="221"/>
      <c r="D258" s="221"/>
      <c r="E258" s="212">
        <v>67741</v>
      </c>
      <c r="F258" s="212">
        <v>1151403</v>
      </c>
      <c r="G258" s="212">
        <v>858658308</v>
      </c>
      <c r="H258" s="212"/>
      <c r="I258" s="212">
        <v>111995320</v>
      </c>
      <c r="J258" s="212">
        <v>746662988</v>
      </c>
    </row>
    <row r="259" spans="1:10" ht="14.1" customHeight="1" x14ac:dyDescent="0.15">
      <c r="A259" s="221"/>
      <c r="B259" s="210" t="s">
        <v>63</v>
      </c>
      <c r="C259" s="210" t="s">
        <v>64</v>
      </c>
      <c r="D259" s="210" t="s">
        <v>65</v>
      </c>
      <c r="E259" s="218">
        <v>44</v>
      </c>
      <c r="F259" s="218">
        <v>10139</v>
      </c>
      <c r="G259" s="218">
        <v>446116</v>
      </c>
      <c r="H259" s="218">
        <v>0</v>
      </c>
      <c r="I259" s="218">
        <v>0</v>
      </c>
      <c r="J259" s="218">
        <v>446116</v>
      </c>
    </row>
    <row r="260" spans="1:10" ht="14.1" customHeight="1" x14ac:dyDescent="0.15">
      <c r="A260" s="221"/>
      <c r="B260" s="220" t="s">
        <v>66</v>
      </c>
      <c r="C260" s="223" t="s">
        <v>67</v>
      </c>
      <c r="D260" s="210" t="s">
        <v>134</v>
      </c>
      <c r="E260" s="219"/>
      <c r="F260" s="219"/>
      <c r="G260" s="219"/>
      <c r="H260" s="219"/>
      <c r="I260" s="219"/>
      <c r="J260" s="219"/>
    </row>
    <row r="261" spans="1:10" ht="14.1" customHeight="1" x14ac:dyDescent="0.15">
      <c r="A261" s="221"/>
      <c r="B261" s="221"/>
      <c r="C261" s="221"/>
      <c r="D261" s="210" t="s">
        <v>132</v>
      </c>
      <c r="E261" s="212">
        <v>19</v>
      </c>
      <c r="F261" s="212">
        <v>10139</v>
      </c>
      <c r="G261" s="212">
        <v>192641</v>
      </c>
      <c r="H261" s="212">
        <v>0</v>
      </c>
      <c r="I261" s="212">
        <v>0</v>
      </c>
      <c r="J261" s="212">
        <v>192641</v>
      </c>
    </row>
    <row r="262" spans="1:10" ht="29.1" customHeight="1" x14ac:dyDescent="0.15">
      <c r="A262" s="221"/>
      <c r="B262" s="221"/>
      <c r="C262" s="209" t="s">
        <v>159</v>
      </c>
      <c r="D262" s="210" t="s">
        <v>133</v>
      </c>
      <c r="E262" s="212">
        <v>18</v>
      </c>
      <c r="F262" s="212">
        <v>11560</v>
      </c>
      <c r="G262" s="212">
        <v>208080</v>
      </c>
      <c r="H262" s="212">
        <v>2346</v>
      </c>
      <c r="I262" s="212">
        <v>42228</v>
      </c>
      <c r="J262" s="212">
        <v>165852</v>
      </c>
    </row>
    <row r="263" spans="1:10" ht="29.1" customHeight="1" x14ac:dyDescent="0.15">
      <c r="A263" s="221"/>
      <c r="B263" s="221"/>
      <c r="C263" s="209" t="s">
        <v>161</v>
      </c>
      <c r="D263" s="210" t="s">
        <v>133</v>
      </c>
      <c r="E263" s="212">
        <v>3616</v>
      </c>
      <c r="F263" s="212">
        <v>10841</v>
      </c>
      <c r="G263" s="212">
        <v>39201056</v>
      </c>
      <c r="H263" s="212">
        <v>1627</v>
      </c>
      <c r="I263" s="212">
        <v>5883232</v>
      </c>
      <c r="J263" s="212">
        <v>33317824</v>
      </c>
    </row>
    <row r="264" spans="1:10" ht="14.1" customHeight="1" x14ac:dyDescent="0.15">
      <c r="A264" s="221"/>
      <c r="B264" s="220" t="s">
        <v>76</v>
      </c>
      <c r="C264" s="223" t="s">
        <v>67</v>
      </c>
      <c r="D264" s="210" t="s">
        <v>136</v>
      </c>
      <c r="E264" s="212">
        <v>11</v>
      </c>
      <c r="F264" s="212">
        <v>6828</v>
      </c>
      <c r="G264" s="212">
        <v>75108</v>
      </c>
      <c r="H264" s="212">
        <v>0</v>
      </c>
      <c r="I264" s="212">
        <v>0</v>
      </c>
      <c r="J264" s="212">
        <v>75108</v>
      </c>
    </row>
    <row r="265" spans="1:10" ht="14.1" customHeight="1" x14ac:dyDescent="0.15">
      <c r="A265" s="221"/>
      <c r="B265" s="221"/>
      <c r="C265" s="221"/>
      <c r="D265" s="210" t="s">
        <v>77</v>
      </c>
      <c r="E265" s="212">
        <v>8</v>
      </c>
      <c r="F265" s="212">
        <v>6828</v>
      </c>
      <c r="G265" s="212">
        <v>54624</v>
      </c>
      <c r="H265" s="212">
        <v>0</v>
      </c>
      <c r="I265" s="212">
        <v>0</v>
      </c>
      <c r="J265" s="212">
        <v>54624</v>
      </c>
    </row>
    <row r="266" spans="1:10" ht="29.1" customHeight="1" x14ac:dyDescent="0.15">
      <c r="A266" s="221"/>
      <c r="B266" s="221"/>
      <c r="C266" s="222" t="s">
        <v>159</v>
      </c>
      <c r="D266" s="210" t="s">
        <v>87</v>
      </c>
      <c r="E266" s="212">
        <v>4</v>
      </c>
      <c r="F266" s="212">
        <v>13362</v>
      </c>
      <c r="G266" s="212">
        <v>53448</v>
      </c>
      <c r="H266" s="212">
        <v>6286</v>
      </c>
      <c r="I266" s="212">
        <v>25144</v>
      </c>
      <c r="J266" s="212">
        <v>28304</v>
      </c>
    </row>
    <row r="267" spans="1:10" ht="14.1" customHeight="1" x14ac:dyDescent="0.15">
      <c r="A267" s="221"/>
      <c r="B267" s="221"/>
      <c r="C267" s="221"/>
      <c r="D267" s="210" t="s">
        <v>80</v>
      </c>
      <c r="E267" s="212">
        <v>1</v>
      </c>
      <c r="F267" s="212">
        <v>14027</v>
      </c>
      <c r="G267" s="212">
        <v>14027</v>
      </c>
      <c r="H267" s="212">
        <v>6951</v>
      </c>
      <c r="I267" s="212">
        <v>6951</v>
      </c>
      <c r="J267" s="212">
        <v>7076</v>
      </c>
    </row>
    <row r="268" spans="1:10" ht="14.1" customHeight="1" x14ac:dyDescent="0.15">
      <c r="A268" s="221"/>
      <c r="B268" s="221"/>
      <c r="C268" s="221"/>
      <c r="D268" s="210" t="s">
        <v>71</v>
      </c>
      <c r="E268" s="212">
        <v>1</v>
      </c>
      <c r="F268" s="212">
        <v>8249</v>
      </c>
      <c r="G268" s="212">
        <v>8249</v>
      </c>
      <c r="H268" s="212">
        <v>1421</v>
      </c>
      <c r="I268" s="212">
        <v>1421</v>
      </c>
      <c r="J268" s="212">
        <v>6828</v>
      </c>
    </row>
    <row r="269" spans="1:10" ht="14.1" customHeight="1" x14ac:dyDescent="0.15">
      <c r="A269" s="221"/>
      <c r="B269" s="221"/>
      <c r="C269" s="221"/>
      <c r="D269" s="210" t="s">
        <v>91</v>
      </c>
      <c r="E269" s="212">
        <v>113</v>
      </c>
      <c r="F269" s="212">
        <v>8370</v>
      </c>
      <c r="G269" s="212">
        <v>945810</v>
      </c>
      <c r="H269" s="212">
        <v>1421</v>
      </c>
      <c r="I269" s="212">
        <v>160573</v>
      </c>
      <c r="J269" s="212">
        <v>785237</v>
      </c>
    </row>
    <row r="270" spans="1:10" ht="29.1" customHeight="1" x14ac:dyDescent="0.15">
      <c r="A270" s="221"/>
      <c r="B270" s="221"/>
      <c r="C270" s="222" t="s">
        <v>161</v>
      </c>
      <c r="D270" s="210" t="s">
        <v>87</v>
      </c>
      <c r="E270" s="212">
        <v>2</v>
      </c>
      <c r="F270" s="212">
        <v>13362</v>
      </c>
      <c r="G270" s="212">
        <v>26724</v>
      </c>
      <c r="H270" s="212">
        <v>6286</v>
      </c>
      <c r="I270" s="212">
        <v>12572</v>
      </c>
      <c r="J270" s="212">
        <v>14152</v>
      </c>
    </row>
    <row r="271" spans="1:10" ht="14.1" customHeight="1" x14ac:dyDescent="0.15">
      <c r="A271" s="221"/>
      <c r="B271" s="221"/>
      <c r="C271" s="221"/>
      <c r="D271" s="210" t="s">
        <v>71</v>
      </c>
      <c r="E271" s="212">
        <v>10431</v>
      </c>
      <c r="F271" s="212">
        <v>7530</v>
      </c>
      <c r="G271" s="212">
        <v>78545430</v>
      </c>
      <c r="H271" s="212">
        <v>702</v>
      </c>
      <c r="I271" s="212">
        <v>7322562</v>
      </c>
      <c r="J271" s="212">
        <v>71222868</v>
      </c>
    </row>
    <row r="272" spans="1:10" ht="14.1" customHeight="1" x14ac:dyDescent="0.15">
      <c r="A272" s="221"/>
      <c r="B272" s="221"/>
      <c r="C272" s="221"/>
      <c r="D272" s="210" t="s">
        <v>91</v>
      </c>
      <c r="E272" s="212">
        <v>389</v>
      </c>
      <c r="F272" s="212">
        <v>7651</v>
      </c>
      <c r="G272" s="212">
        <v>2976239</v>
      </c>
      <c r="H272" s="212">
        <v>702</v>
      </c>
      <c r="I272" s="212">
        <v>273078</v>
      </c>
      <c r="J272" s="212">
        <v>2703161</v>
      </c>
    </row>
    <row r="273" spans="1:10" ht="14.1" customHeight="1" x14ac:dyDescent="0.15">
      <c r="A273" s="221"/>
      <c r="B273" s="220" t="s">
        <v>162</v>
      </c>
      <c r="C273" s="223" t="s">
        <v>108</v>
      </c>
      <c r="D273" s="210" t="s">
        <v>163</v>
      </c>
      <c r="E273" s="212">
        <v>957</v>
      </c>
      <c r="F273" s="212">
        <v>23712</v>
      </c>
      <c r="G273" s="212">
        <v>22692384</v>
      </c>
      <c r="H273" s="212">
        <v>3932</v>
      </c>
      <c r="I273" s="212">
        <v>3762924</v>
      </c>
      <c r="J273" s="212">
        <v>18929460</v>
      </c>
    </row>
    <row r="274" spans="1:10" ht="14.1" customHeight="1" x14ac:dyDescent="0.15">
      <c r="A274" s="221"/>
      <c r="B274" s="221"/>
      <c r="C274" s="221"/>
      <c r="D274" s="210" t="s">
        <v>164</v>
      </c>
      <c r="E274" s="212">
        <v>13</v>
      </c>
      <c r="F274" s="212">
        <v>5175</v>
      </c>
      <c r="G274" s="212">
        <v>67275</v>
      </c>
      <c r="H274" s="212">
        <v>0</v>
      </c>
      <c r="I274" s="212">
        <v>0</v>
      </c>
      <c r="J274" s="212">
        <v>67275</v>
      </c>
    </row>
    <row r="275" spans="1:10" ht="14.1" customHeight="1" x14ac:dyDescent="0.15">
      <c r="A275" s="221"/>
      <c r="B275" s="221"/>
      <c r="C275" s="221"/>
      <c r="D275" s="210" t="s">
        <v>165</v>
      </c>
      <c r="E275" s="212">
        <v>8851</v>
      </c>
      <c r="F275" s="212">
        <v>20422</v>
      </c>
      <c r="G275" s="212">
        <v>180755122</v>
      </c>
      <c r="H275" s="212">
        <v>3932</v>
      </c>
      <c r="I275" s="212">
        <v>34802132</v>
      </c>
      <c r="J275" s="212">
        <v>145952990</v>
      </c>
    </row>
    <row r="276" spans="1:10" ht="14.1" customHeight="1" x14ac:dyDescent="0.15">
      <c r="A276" s="221"/>
      <c r="B276" s="221"/>
      <c r="C276" s="221"/>
      <c r="D276" s="210" t="s">
        <v>166</v>
      </c>
      <c r="E276" s="212">
        <v>30</v>
      </c>
      <c r="F276" s="212">
        <v>2853</v>
      </c>
      <c r="G276" s="212">
        <v>85590</v>
      </c>
      <c r="H276" s="212">
        <v>0</v>
      </c>
      <c r="I276" s="212">
        <v>0</v>
      </c>
      <c r="J276" s="212">
        <v>85590</v>
      </c>
    </row>
    <row r="277" spans="1:10" ht="42.95" customHeight="1" x14ac:dyDescent="0.15">
      <c r="A277" s="221"/>
      <c r="B277" s="222" t="s">
        <v>215</v>
      </c>
      <c r="C277" s="223" t="s">
        <v>67</v>
      </c>
      <c r="D277" s="210" t="s">
        <v>145</v>
      </c>
      <c r="E277" s="212">
        <v>5</v>
      </c>
      <c r="F277" s="212">
        <v>26911</v>
      </c>
      <c r="G277" s="212">
        <v>134555</v>
      </c>
      <c r="H277" s="212">
        <v>0</v>
      </c>
      <c r="I277" s="212">
        <v>0</v>
      </c>
      <c r="J277" s="212">
        <v>134555</v>
      </c>
    </row>
    <row r="278" spans="1:10" ht="14.1" customHeight="1" x14ac:dyDescent="0.15">
      <c r="A278" s="221"/>
      <c r="B278" s="221"/>
      <c r="C278" s="221"/>
      <c r="D278" s="210" t="s">
        <v>85</v>
      </c>
      <c r="E278" s="212">
        <v>29</v>
      </c>
      <c r="F278" s="212">
        <v>26911</v>
      </c>
      <c r="G278" s="212">
        <v>780419</v>
      </c>
      <c r="H278" s="212">
        <v>0</v>
      </c>
      <c r="I278" s="212">
        <v>0</v>
      </c>
      <c r="J278" s="212">
        <v>780419</v>
      </c>
    </row>
    <row r="279" spans="1:10" ht="14.1" customHeight="1" x14ac:dyDescent="0.15">
      <c r="A279" s="221"/>
      <c r="B279" s="221"/>
      <c r="C279" s="221"/>
      <c r="D279" s="210" t="s">
        <v>141</v>
      </c>
      <c r="E279" s="212">
        <v>29</v>
      </c>
      <c r="F279" s="212">
        <v>13127</v>
      </c>
      <c r="G279" s="212">
        <v>380683</v>
      </c>
      <c r="H279" s="212">
        <v>0</v>
      </c>
      <c r="I279" s="212">
        <v>0</v>
      </c>
      <c r="J279" s="212">
        <v>380683</v>
      </c>
    </row>
    <row r="280" spans="1:10" ht="14.1" customHeight="1" x14ac:dyDescent="0.15">
      <c r="A280" s="221"/>
      <c r="B280" s="221"/>
      <c r="C280" s="221"/>
      <c r="D280" s="210" t="s">
        <v>78</v>
      </c>
      <c r="E280" s="212">
        <v>17</v>
      </c>
      <c r="F280" s="212">
        <v>13127</v>
      </c>
      <c r="G280" s="212">
        <v>223159</v>
      </c>
      <c r="H280" s="212">
        <v>0</v>
      </c>
      <c r="I280" s="212">
        <v>0</v>
      </c>
      <c r="J280" s="212">
        <v>223159</v>
      </c>
    </row>
    <row r="281" spans="1:10" ht="14.1" customHeight="1" x14ac:dyDescent="0.15">
      <c r="A281" s="221"/>
      <c r="B281" s="221"/>
      <c r="C281" s="221"/>
      <c r="D281" s="210" t="s">
        <v>83</v>
      </c>
      <c r="E281" s="212">
        <v>33</v>
      </c>
      <c r="F281" s="212">
        <v>10040</v>
      </c>
      <c r="G281" s="212">
        <v>331320</v>
      </c>
      <c r="H281" s="212">
        <v>0</v>
      </c>
      <c r="I281" s="212">
        <v>0</v>
      </c>
      <c r="J281" s="212">
        <v>331320</v>
      </c>
    </row>
    <row r="282" spans="1:10" ht="14.1" customHeight="1" x14ac:dyDescent="0.15">
      <c r="A282" s="221"/>
      <c r="B282" s="221"/>
      <c r="C282" s="221"/>
      <c r="D282" s="210" t="s">
        <v>136</v>
      </c>
      <c r="E282" s="212">
        <v>4</v>
      </c>
      <c r="F282" s="212">
        <v>6828</v>
      </c>
      <c r="G282" s="212">
        <v>27312</v>
      </c>
      <c r="H282" s="212">
        <v>0</v>
      </c>
      <c r="I282" s="212">
        <v>0</v>
      </c>
      <c r="J282" s="212">
        <v>27312</v>
      </c>
    </row>
    <row r="283" spans="1:10" ht="14.1" customHeight="1" x14ac:dyDescent="0.15">
      <c r="A283" s="221"/>
      <c r="B283" s="221"/>
      <c r="C283" s="221"/>
      <c r="D283" s="210" t="s">
        <v>77</v>
      </c>
      <c r="E283" s="212">
        <v>89</v>
      </c>
      <c r="F283" s="212">
        <v>6828</v>
      </c>
      <c r="G283" s="212">
        <v>607692</v>
      </c>
      <c r="H283" s="212">
        <v>0</v>
      </c>
      <c r="I283" s="212">
        <v>0</v>
      </c>
      <c r="J283" s="212">
        <v>607692</v>
      </c>
    </row>
    <row r="284" spans="1:10" ht="14.1" customHeight="1" x14ac:dyDescent="0.15">
      <c r="A284" s="221"/>
      <c r="B284" s="221"/>
      <c r="C284" s="221"/>
      <c r="D284" s="210" t="s">
        <v>149</v>
      </c>
      <c r="E284" s="212">
        <v>4</v>
      </c>
      <c r="F284" s="212">
        <v>4251</v>
      </c>
      <c r="G284" s="212">
        <v>17004</v>
      </c>
      <c r="H284" s="212">
        <v>0</v>
      </c>
      <c r="I284" s="212">
        <v>0</v>
      </c>
      <c r="J284" s="212">
        <v>17004</v>
      </c>
    </row>
    <row r="285" spans="1:10" ht="14.1" customHeight="1" x14ac:dyDescent="0.15">
      <c r="A285" s="221"/>
      <c r="B285" s="221"/>
      <c r="C285" s="221"/>
      <c r="D285" s="210" t="s">
        <v>86</v>
      </c>
      <c r="E285" s="212">
        <v>1</v>
      </c>
      <c r="F285" s="212">
        <v>4251</v>
      </c>
      <c r="G285" s="212">
        <v>4251</v>
      </c>
      <c r="H285" s="212">
        <v>0</v>
      </c>
      <c r="I285" s="212">
        <v>0</v>
      </c>
      <c r="J285" s="212">
        <v>4251</v>
      </c>
    </row>
    <row r="286" spans="1:10" ht="14.1" customHeight="1" x14ac:dyDescent="0.15">
      <c r="A286" s="221"/>
      <c r="B286" s="221"/>
      <c r="C286" s="221"/>
      <c r="D286" s="210" t="s">
        <v>84</v>
      </c>
      <c r="E286" s="212">
        <v>9</v>
      </c>
      <c r="F286" s="212">
        <v>2410</v>
      </c>
      <c r="G286" s="212">
        <v>21690</v>
      </c>
      <c r="H286" s="212">
        <v>0</v>
      </c>
      <c r="I286" s="212">
        <v>0</v>
      </c>
      <c r="J286" s="212">
        <v>21690</v>
      </c>
    </row>
    <row r="287" spans="1:10" ht="14.1" customHeight="1" x14ac:dyDescent="0.15">
      <c r="A287" s="221"/>
      <c r="B287" s="221"/>
      <c r="C287" s="221"/>
      <c r="D287" s="210" t="s">
        <v>148</v>
      </c>
      <c r="E287" s="212">
        <v>1</v>
      </c>
      <c r="F287" s="212">
        <v>1205</v>
      </c>
      <c r="G287" s="212">
        <v>1205</v>
      </c>
      <c r="H287" s="212">
        <v>0</v>
      </c>
      <c r="I287" s="212">
        <v>0</v>
      </c>
      <c r="J287" s="212">
        <v>1205</v>
      </c>
    </row>
    <row r="288" spans="1:10" ht="14.1" customHeight="1" x14ac:dyDescent="0.15">
      <c r="A288" s="221"/>
      <c r="B288" s="221"/>
      <c r="C288" s="221"/>
      <c r="D288" s="210" t="s">
        <v>89</v>
      </c>
      <c r="E288" s="212">
        <v>1</v>
      </c>
      <c r="F288" s="212">
        <v>1205</v>
      </c>
      <c r="G288" s="212">
        <v>1205</v>
      </c>
      <c r="H288" s="212">
        <v>0</v>
      </c>
      <c r="I288" s="212">
        <v>0</v>
      </c>
      <c r="J288" s="212">
        <v>1205</v>
      </c>
    </row>
    <row r="289" spans="1:10" ht="14.1" customHeight="1" x14ac:dyDescent="0.15">
      <c r="A289" s="221"/>
      <c r="B289" s="221"/>
      <c r="C289" s="221"/>
      <c r="D289" s="210" t="s">
        <v>142</v>
      </c>
      <c r="E289" s="212">
        <v>2</v>
      </c>
      <c r="F289" s="212">
        <v>4097</v>
      </c>
      <c r="G289" s="212">
        <v>8194</v>
      </c>
      <c r="H289" s="212">
        <v>0</v>
      </c>
      <c r="I289" s="212">
        <v>0</v>
      </c>
      <c r="J289" s="212">
        <v>8194</v>
      </c>
    </row>
    <row r="290" spans="1:10" ht="14.1" customHeight="1" x14ac:dyDescent="0.15">
      <c r="A290" s="221"/>
      <c r="B290" s="221"/>
      <c r="C290" s="221"/>
      <c r="D290" s="210" t="s">
        <v>138</v>
      </c>
      <c r="E290" s="212">
        <v>2</v>
      </c>
      <c r="F290" s="212">
        <v>5103</v>
      </c>
      <c r="G290" s="212">
        <v>10206</v>
      </c>
      <c r="H290" s="212">
        <v>0</v>
      </c>
      <c r="I290" s="212">
        <v>0</v>
      </c>
      <c r="J290" s="212">
        <v>10206</v>
      </c>
    </row>
    <row r="291" spans="1:10" ht="29.1" customHeight="1" x14ac:dyDescent="0.15">
      <c r="A291" s="221"/>
      <c r="B291" s="221"/>
      <c r="C291" s="222" t="s">
        <v>159</v>
      </c>
      <c r="D291" s="210" t="s">
        <v>70</v>
      </c>
      <c r="E291" s="212">
        <v>15</v>
      </c>
      <c r="F291" s="212">
        <v>3986</v>
      </c>
      <c r="G291" s="212">
        <v>59790</v>
      </c>
      <c r="H291" s="212">
        <v>1421</v>
      </c>
      <c r="I291" s="212">
        <v>21315</v>
      </c>
      <c r="J291" s="212">
        <v>38475</v>
      </c>
    </row>
    <row r="292" spans="1:10" ht="14.1" customHeight="1" x14ac:dyDescent="0.15">
      <c r="A292" s="221"/>
      <c r="B292" s="221"/>
      <c r="C292" s="221"/>
      <c r="D292" s="210" t="s">
        <v>79</v>
      </c>
      <c r="E292" s="212">
        <v>4</v>
      </c>
      <c r="F292" s="212">
        <v>28332</v>
      </c>
      <c r="G292" s="212">
        <v>113328</v>
      </c>
      <c r="H292" s="212">
        <v>1421</v>
      </c>
      <c r="I292" s="212">
        <v>5684</v>
      </c>
      <c r="J292" s="212">
        <v>107644</v>
      </c>
    </row>
    <row r="293" spans="1:10" ht="14.1" customHeight="1" x14ac:dyDescent="0.15">
      <c r="A293" s="221"/>
      <c r="B293" s="221"/>
      <c r="C293" s="221"/>
      <c r="D293" s="210" t="s">
        <v>73</v>
      </c>
      <c r="E293" s="212">
        <v>8</v>
      </c>
      <c r="F293" s="212">
        <v>14548</v>
      </c>
      <c r="G293" s="212">
        <v>116384</v>
      </c>
      <c r="H293" s="212">
        <v>1421</v>
      </c>
      <c r="I293" s="212">
        <v>11368</v>
      </c>
      <c r="J293" s="212">
        <v>105016</v>
      </c>
    </row>
    <row r="294" spans="1:10" ht="14.1" customHeight="1" x14ac:dyDescent="0.15">
      <c r="A294" s="221"/>
      <c r="B294" s="221"/>
      <c r="C294" s="221"/>
      <c r="D294" s="210" t="s">
        <v>74</v>
      </c>
      <c r="E294" s="212">
        <v>1</v>
      </c>
      <c r="F294" s="212">
        <v>11461</v>
      </c>
      <c r="G294" s="212">
        <v>11461</v>
      </c>
      <c r="H294" s="212">
        <v>1421</v>
      </c>
      <c r="I294" s="212">
        <v>1421</v>
      </c>
      <c r="J294" s="212">
        <v>10040</v>
      </c>
    </row>
    <row r="295" spans="1:10" ht="14.1" customHeight="1" x14ac:dyDescent="0.15">
      <c r="A295" s="221"/>
      <c r="B295" s="221"/>
      <c r="C295" s="221"/>
      <c r="D295" s="210" t="s">
        <v>71</v>
      </c>
      <c r="E295" s="212">
        <v>29</v>
      </c>
      <c r="F295" s="212">
        <v>8249</v>
      </c>
      <c r="G295" s="212">
        <v>239221</v>
      </c>
      <c r="H295" s="212">
        <v>1421</v>
      </c>
      <c r="I295" s="212">
        <v>41209</v>
      </c>
      <c r="J295" s="212">
        <v>198012</v>
      </c>
    </row>
    <row r="296" spans="1:10" ht="14.1" customHeight="1" x14ac:dyDescent="0.15">
      <c r="A296" s="221"/>
      <c r="B296" s="221"/>
      <c r="C296" s="221"/>
      <c r="D296" s="210" t="s">
        <v>69</v>
      </c>
      <c r="E296" s="212">
        <v>4</v>
      </c>
      <c r="F296" s="212">
        <v>25614</v>
      </c>
      <c r="G296" s="212">
        <v>102456</v>
      </c>
      <c r="H296" s="212">
        <v>1421</v>
      </c>
      <c r="I296" s="212">
        <v>5684</v>
      </c>
      <c r="J296" s="212">
        <v>96772</v>
      </c>
    </row>
    <row r="297" spans="1:10" ht="14.1" customHeight="1" x14ac:dyDescent="0.15">
      <c r="A297" s="221"/>
      <c r="B297" s="221"/>
      <c r="C297" s="221"/>
      <c r="D297" s="210" t="s">
        <v>139</v>
      </c>
      <c r="E297" s="212">
        <v>85</v>
      </c>
      <c r="F297" s="212">
        <v>5518</v>
      </c>
      <c r="G297" s="212">
        <v>469030</v>
      </c>
      <c r="H297" s="212">
        <v>1421</v>
      </c>
      <c r="I297" s="212">
        <v>120785</v>
      </c>
      <c r="J297" s="212">
        <v>348245</v>
      </c>
    </row>
    <row r="298" spans="1:10" ht="14.1" customHeight="1" x14ac:dyDescent="0.15">
      <c r="A298" s="221"/>
      <c r="B298" s="221"/>
      <c r="C298" s="221"/>
      <c r="D298" s="210" t="s">
        <v>140</v>
      </c>
      <c r="E298" s="212">
        <v>23</v>
      </c>
      <c r="F298" s="212">
        <v>6524</v>
      </c>
      <c r="G298" s="212">
        <v>150052</v>
      </c>
      <c r="H298" s="212">
        <v>1421</v>
      </c>
      <c r="I298" s="212">
        <v>32683</v>
      </c>
      <c r="J298" s="212">
        <v>117369</v>
      </c>
    </row>
    <row r="299" spans="1:10" ht="29.1" customHeight="1" x14ac:dyDescent="0.15">
      <c r="A299" s="221"/>
      <c r="B299" s="221"/>
      <c r="C299" s="209" t="s">
        <v>160</v>
      </c>
      <c r="D299" s="210" t="s">
        <v>71</v>
      </c>
      <c r="E299" s="212">
        <v>45</v>
      </c>
      <c r="F299" s="212">
        <v>7752</v>
      </c>
      <c r="G299" s="212">
        <v>348825</v>
      </c>
      <c r="H299" s="212">
        <v>1367</v>
      </c>
      <c r="I299" s="212">
        <v>61515</v>
      </c>
      <c r="J299" s="212">
        <v>287310</v>
      </c>
    </row>
    <row r="300" spans="1:10" ht="29.1" customHeight="1" x14ac:dyDescent="0.15">
      <c r="A300" s="221"/>
      <c r="B300" s="221"/>
      <c r="C300" s="222" t="s">
        <v>161</v>
      </c>
      <c r="D300" s="210" t="s">
        <v>70</v>
      </c>
      <c r="E300" s="212">
        <v>360</v>
      </c>
      <c r="F300" s="212">
        <v>3267</v>
      </c>
      <c r="G300" s="212">
        <v>1176120</v>
      </c>
      <c r="H300" s="212">
        <v>702</v>
      </c>
      <c r="I300" s="212">
        <v>252720</v>
      </c>
      <c r="J300" s="212">
        <v>923400</v>
      </c>
    </row>
    <row r="301" spans="1:10" ht="14.1" customHeight="1" x14ac:dyDescent="0.15">
      <c r="A301" s="221"/>
      <c r="B301" s="221"/>
      <c r="C301" s="221"/>
      <c r="D301" s="210" t="s">
        <v>101</v>
      </c>
      <c r="E301" s="212">
        <v>29</v>
      </c>
      <c r="F301" s="212">
        <v>45688</v>
      </c>
      <c r="G301" s="212">
        <v>1324952</v>
      </c>
      <c r="H301" s="212">
        <v>702</v>
      </c>
      <c r="I301" s="212">
        <v>20358</v>
      </c>
      <c r="J301" s="212">
        <v>1304594</v>
      </c>
    </row>
    <row r="302" spans="1:10" ht="14.1" customHeight="1" x14ac:dyDescent="0.15">
      <c r="A302" s="221"/>
      <c r="B302" s="221"/>
      <c r="C302" s="221"/>
      <c r="D302" s="210" t="s">
        <v>79</v>
      </c>
      <c r="E302" s="212">
        <v>2725</v>
      </c>
      <c r="F302" s="212">
        <v>27613</v>
      </c>
      <c r="G302" s="212">
        <v>75245425</v>
      </c>
      <c r="H302" s="212">
        <v>702</v>
      </c>
      <c r="I302" s="212">
        <v>1912950</v>
      </c>
      <c r="J302" s="212">
        <v>73332475</v>
      </c>
    </row>
    <row r="303" spans="1:10" ht="14.1" customHeight="1" x14ac:dyDescent="0.15">
      <c r="A303" s="221"/>
      <c r="B303" s="221"/>
      <c r="C303" s="221"/>
      <c r="D303" s="210" t="s">
        <v>73</v>
      </c>
      <c r="E303" s="212">
        <v>2894</v>
      </c>
      <c r="F303" s="212">
        <v>13829</v>
      </c>
      <c r="G303" s="212">
        <v>40021126</v>
      </c>
      <c r="H303" s="212">
        <v>702</v>
      </c>
      <c r="I303" s="212">
        <v>2031588</v>
      </c>
      <c r="J303" s="212">
        <v>37989538</v>
      </c>
    </row>
    <row r="304" spans="1:10" ht="14.1" customHeight="1" x14ac:dyDescent="0.15">
      <c r="A304" s="221"/>
      <c r="B304" s="221"/>
      <c r="C304" s="221"/>
      <c r="D304" s="210" t="s">
        <v>74</v>
      </c>
      <c r="E304" s="212">
        <v>221</v>
      </c>
      <c r="F304" s="212">
        <v>10742</v>
      </c>
      <c r="G304" s="212">
        <v>2373982</v>
      </c>
      <c r="H304" s="212">
        <v>702</v>
      </c>
      <c r="I304" s="212">
        <v>155142</v>
      </c>
      <c r="J304" s="212">
        <v>2218840</v>
      </c>
    </row>
    <row r="305" spans="1:10" ht="14.1" customHeight="1" x14ac:dyDescent="0.15">
      <c r="A305" s="221"/>
      <c r="B305" s="221"/>
      <c r="C305" s="221"/>
      <c r="D305" s="210" t="s">
        <v>71</v>
      </c>
      <c r="E305" s="212">
        <v>1694</v>
      </c>
      <c r="F305" s="212">
        <v>7530</v>
      </c>
      <c r="G305" s="212">
        <v>12755820</v>
      </c>
      <c r="H305" s="212">
        <v>702</v>
      </c>
      <c r="I305" s="212">
        <v>1189188</v>
      </c>
      <c r="J305" s="212">
        <v>11566632</v>
      </c>
    </row>
    <row r="306" spans="1:10" ht="14.1" customHeight="1" x14ac:dyDescent="0.15">
      <c r="A306" s="221"/>
      <c r="B306" s="221"/>
      <c r="C306" s="221"/>
      <c r="D306" s="210" t="s">
        <v>72</v>
      </c>
      <c r="E306" s="212">
        <v>152</v>
      </c>
      <c r="F306" s="212">
        <v>4953</v>
      </c>
      <c r="G306" s="212">
        <v>752856</v>
      </c>
      <c r="H306" s="212">
        <v>702</v>
      </c>
      <c r="I306" s="212">
        <v>106704</v>
      </c>
      <c r="J306" s="212">
        <v>646152</v>
      </c>
    </row>
    <row r="307" spans="1:10" ht="14.1" customHeight="1" x14ac:dyDescent="0.15">
      <c r="A307" s="221"/>
      <c r="B307" s="221"/>
      <c r="C307" s="221"/>
      <c r="D307" s="210" t="s">
        <v>82</v>
      </c>
      <c r="E307" s="212">
        <v>84</v>
      </c>
      <c r="F307" s="212">
        <v>3112</v>
      </c>
      <c r="G307" s="212">
        <v>261408</v>
      </c>
      <c r="H307" s="212">
        <v>702</v>
      </c>
      <c r="I307" s="212">
        <v>58968</v>
      </c>
      <c r="J307" s="212">
        <v>202440</v>
      </c>
    </row>
    <row r="308" spans="1:10" ht="14.1" customHeight="1" x14ac:dyDescent="0.15">
      <c r="A308" s="221"/>
      <c r="B308" s="221"/>
      <c r="C308" s="221"/>
      <c r="D308" s="210" t="s">
        <v>75</v>
      </c>
      <c r="E308" s="212">
        <v>39</v>
      </c>
      <c r="F308" s="212">
        <v>1907</v>
      </c>
      <c r="G308" s="212">
        <v>74373</v>
      </c>
      <c r="H308" s="212">
        <v>702</v>
      </c>
      <c r="I308" s="212">
        <v>27378</v>
      </c>
      <c r="J308" s="212">
        <v>46995</v>
      </c>
    </row>
    <row r="309" spans="1:10" ht="14.1" customHeight="1" x14ac:dyDescent="0.15">
      <c r="A309" s="221"/>
      <c r="B309" s="221"/>
      <c r="C309" s="221"/>
      <c r="D309" s="210" t="s">
        <v>69</v>
      </c>
      <c r="E309" s="212">
        <v>105</v>
      </c>
      <c r="F309" s="212">
        <v>24895</v>
      </c>
      <c r="G309" s="212">
        <v>2613975</v>
      </c>
      <c r="H309" s="212">
        <v>702</v>
      </c>
      <c r="I309" s="212">
        <v>73710</v>
      </c>
      <c r="J309" s="212">
        <v>2540265</v>
      </c>
    </row>
    <row r="310" spans="1:10" ht="14.1" customHeight="1" x14ac:dyDescent="0.15">
      <c r="A310" s="221"/>
      <c r="B310" s="221"/>
      <c r="C310" s="221"/>
      <c r="D310" s="210" t="s">
        <v>139</v>
      </c>
      <c r="E310" s="212">
        <v>1774</v>
      </c>
      <c r="F310" s="212">
        <v>4799</v>
      </c>
      <c r="G310" s="212">
        <v>8513426</v>
      </c>
      <c r="H310" s="212">
        <v>702</v>
      </c>
      <c r="I310" s="212">
        <v>1245348</v>
      </c>
      <c r="J310" s="212">
        <v>7268078</v>
      </c>
    </row>
    <row r="311" spans="1:10" ht="14.1" customHeight="1" x14ac:dyDescent="0.15">
      <c r="A311" s="221"/>
      <c r="B311" s="221"/>
      <c r="C311" s="221"/>
      <c r="D311" s="210" t="s">
        <v>140</v>
      </c>
      <c r="E311" s="212">
        <v>493</v>
      </c>
      <c r="F311" s="212">
        <v>5805</v>
      </c>
      <c r="G311" s="212">
        <v>2861865</v>
      </c>
      <c r="H311" s="212">
        <v>702</v>
      </c>
      <c r="I311" s="212">
        <v>346086</v>
      </c>
      <c r="J311" s="212">
        <v>2515779</v>
      </c>
    </row>
    <row r="312" spans="1:10" ht="14.1" customHeight="1" x14ac:dyDescent="0.15">
      <c r="A312" s="221"/>
      <c r="B312" s="220" t="s">
        <v>168</v>
      </c>
      <c r="C312" s="223" t="s">
        <v>67</v>
      </c>
      <c r="D312" s="210" t="s">
        <v>152</v>
      </c>
      <c r="E312" s="212">
        <v>1</v>
      </c>
      <c r="F312" s="212">
        <v>61212</v>
      </c>
      <c r="G312" s="212">
        <v>61212</v>
      </c>
      <c r="H312" s="212">
        <v>925</v>
      </c>
      <c r="I312" s="212">
        <v>925</v>
      </c>
      <c r="J312" s="212">
        <v>60287</v>
      </c>
    </row>
    <row r="313" spans="1:10" ht="14.1" customHeight="1" x14ac:dyDescent="0.15">
      <c r="A313" s="221"/>
      <c r="B313" s="221"/>
      <c r="C313" s="221"/>
      <c r="D313" s="210" t="s">
        <v>144</v>
      </c>
      <c r="E313" s="212">
        <v>4</v>
      </c>
      <c r="F313" s="212">
        <v>44986</v>
      </c>
      <c r="G313" s="212">
        <v>179944</v>
      </c>
      <c r="H313" s="212">
        <v>925</v>
      </c>
      <c r="I313" s="212">
        <v>3700</v>
      </c>
      <c r="J313" s="212">
        <v>176244</v>
      </c>
    </row>
    <row r="314" spans="1:10" ht="14.1" customHeight="1" x14ac:dyDescent="0.15">
      <c r="A314" s="221"/>
      <c r="B314" s="221"/>
      <c r="C314" s="221"/>
      <c r="D314" s="210" t="s">
        <v>154</v>
      </c>
      <c r="E314" s="212">
        <v>2</v>
      </c>
      <c r="F314" s="212">
        <v>44986</v>
      </c>
      <c r="G314" s="212">
        <v>89972</v>
      </c>
      <c r="H314" s="212">
        <v>925</v>
      </c>
      <c r="I314" s="212">
        <v>1850</v>
      </c>
      <c r="J314" s="212">
        <v>88122</v>
      </c>
    </row>
    <row r="315" spans="1:10" ht="14.1" customHeight="1" x14ac:dyDescent="0.15">
      <c r="A315" s="221"/>
      <c r="B315" s="221"/>
      <c r="C315" s="221"/>
      <c r="D315" s="210" t="s">
        <v>145</v>
      </c>
      <c r="E315" s="212">
        <v>37</v>
      </c>
      <c r="F315" s="212">
        <v>26911</v>
      </c>
      <c r="G315" s="212">
        <v>995707</v>
      </c>
      <c r="H315" s="212">
        <v>925</v>
      </c>
      <c r="I315" s="212">
        <v>34225</v>
      </c>
      <c r="J315" s="212">
        <v>961482</v>
      </c>
    </row>
    <row r="316" spans="1:10" ht="14.1" customHeight="1" x14ac:dyDescent="0.15">
      <c r="A316" s="221"/>
      <c r="B316" s="221"/>
      <c r="C316" s="221"/>
      <c r="D316" s="210" t="s">
        <v>85</v>
      </c>
      <c r="E316" s="212">
        <v>43</v>
      </c>
      <c r="F316" s="212">
        <v>26911</v>
      </c>
      <c r="G316" s="212">
        <v>1157173</v>
      </c>
      <c r="H316" s="212">
        <v>925</v>
      </c>
      <c r="I316" s="212">
        <v>39775</v>
      </c>
      <c r="J316" s="212">
        <v>1117398</v>
      </c>
    </row>
    <row r="317" spans="1:10" ht="14.1" customHeight="1" x14ac:dyDescent="0.15">
      <c r="A317" s="221"/>
      <c r="B317" s="221"/>
      <c r="C317" s="221"/>
      <c r="D317" s="210" t="s">
        <v>141</v>
      </c>
      <c r="E317" s="212">
        <v>34</v>
      </c>
      <c r="F317" s="212">
        <v>13127</v>
      </c>
      <c r="G317" s="212">
        <v>446318</v>
      </c>
      <c r="H317" s="212">
        <v>925</v>
      </c>
      <c r="I317" s="212">
        <v>31450</v>
      </c>
      <c r="J317" s="212">
        <v>414868</v>
      </c>
    </row>
    <row r="318" spans="1:10" ht="14.1" customHeight="1" x14ac:dyDescent="0.15">
      <c r="A318" s="221"/>
      <c r="B318" s="221"/>
      <c r="C318" s="221"/>
      <c r="D318" s="210" t="s">
        <v>78</v>
      </c>
      <c r="E318" s="212">
        <v>39</v>
      </c>
      <c r="F318" s="212">
        <v>13127</v>
      </c>
      <c r="G318" s="212">
        <v>511953</v>
      </c>
      <c r="H318" s="212">
        <v>925</v>
      </c>
      <c r="I318" s="212">
        <v>36075</v>
      </c>
      <c r="J318" s="212">
        <v>475878</v>
      </c>
    </row>
    <row r="319" spans="1:10" ht="14.1" customHeight="1" x14ac:dyDescent="0.15">
      <c r="A319" s="221"/>
      <c r="B319" s="221"/>
      <c r="C319" s="221"/>
      <c r="D319" s="210" t="s">
        <v>146</v>
      </c>
      <c r="E319" s="212">
        <v>50</v>
      </c>
      <c r="F319" s="212">
        <v>10040</v>
      </c>
      <c r="G319" s="212">
        <v>502000</v>
      </c>
      <c r="H319" s="212">
        <v>925</v>
      </c>
      <c r="I319" s="212">
        <v>46250</v>
      </c>
      <c r="J319" s="212">
        <v>455750</v>
      </c>
    </row>
    <row r="320" spans="1:10" ht="14.1" customHeight="1" x14ac:dyDescent="0.15">
      <c r="A320" s="221"/>
      <c r="B320" s="221"/>
      <c r="C320" s="221"/>
      <c r="D320" s="210" t="s">
        <v>83</v>
      </c>
      <c r="E320" s="212">
        <v>60</v>
      </c>
      <c r="F320" s="212">
        <v>10040</v>
      </c>
      <c r="G320" s="212">
        <v>602400</v>
      </c>
      <c r="H320" s="212">
        <v>925</v>
      </c>
      <c r="I320" s="212">
        <v>55500</v>
      </c>
      <c r="J320" s="212">
        <v>546900</v>
      </c>
    </row>
    <row r="321" spans="1:10" ht="14.1" customHeight="1" x14ac:dyDescent="0.15">
      <c r="A321" s="221"/>
      <c r="B321" s="221"/>
      <c r="C321" s="221"/>
      <c r="D321" s="210" t="s">
        <v>136</v>
      </c>
      <c r="E321" s="212">
        <v>110</v>
      </c>
      <c r="F321" s="212">
        <v>6828</v>
      </c>
      <c r="G321" s="212">
        <v>751080</v>
      </c>
      <c r="H321" s="212">
        <v>925</v>
      </c>
      <c r="I321" s="212">
        <v>101750</v>
      </c>
      <c r="J321" s="212">
        <v>649330</v>
      </c>
    </row>
    <row r="322" spans="1:10" ht="14.1" customHeight="1" x14ac:dyDescent="0.15">
      <c r="A322" s="221"/>
      <c r="B322" s="221"/>
      <c r="C322" s="221"/>
      <c r="D322" s="210" t="s">
        <v>77</v>
      </c>
      <c r="E322" s="212">
        <v>522</v>
      </c>
      <c r="F322" s="212">
        <v>6828</v>
      </c>
      <c r="G322" s="212">
        <v>3564216</v>
      </c>
      <c r="H322" s="212">
        <v>925</v>
      </c>
      <c r="I322" s="212">
        <v>482850</v>
      </c>
      <c r="J322" s="212">
        <v>3081366</v>
      </c>
    </row>
    <row r="323" spans="1:10" ht="14.1" customHeight="1" x14ac:dyDescent="0.15">
      <c r="A323" s="221"/>
      <c r="B323" s="221"/>
      <c r="C323" s="221"/>
      <c r="D323" s="210" t="s">
        <v>149</v>
      </c>
      <c r="E323" s="212">
        <v>3</v>
      </c>
      <c r="F323" s="212">
        <v>4251</v>
      </c>
      <c r="G323" s="212">
        <v>12753</v>
      </c>
      <c r="H323" s="212">
        <v>925</v>
      </c>
      <c r="I323" s="212">
        <v>2775</v>
      </c>
      <c r="J323" s="212">
        <v>9978</v>
      </c>
    </row>
    <row r="324" spans="1:10" ht="14.1" customHeight="1" x14ac:dyDescent="0.15">
      <c r="A324" s="221"/>
      <c r="B324" s="221"/>
      <c r="C324" s="221"/>
      <c r="D324" s="210" t="s">
        <v>86</v>
      </c>
      <c r="E324" s="212">
        <v>7</v>
      </c>
      <c r="F324" s="212">
        <v>4251</v>
      </c>
      <c r="G324" s="212">
        <v>29757</v>
      </c>
      <c r="H324" s="212">
        <v>925</v>
      </c>
      <c r="I324" s="212">
        <v>6475</v>
      </c>
      <c r="J324" s="212">
        <v>23282</v>
      </c>
    </row>
    <row r="325" spans="1:10" ht="14.1" customHeight="1" x14ac:dyDescent="0.15">
      <c r="A325" s="221"/>
      <c r="B325" s="221"/>
      <c r="C325" s="221"/>
      <c r="D325" s="210" t="s">
        <v>147</v>
      </c>
      <c r="E325" s="212">
        <v>4</v>
      </c>
      <c r="F325" s="212">
        <v>2410</v>
      </c>
      <c r="G325" s="212">
        <v>9640</v>
      </c>
      <c r="H325" s="212">
        <v>925</v>
      </c>
      <c r="I325" s="212">
        <v>3700</v>
      </c>
      <c r="J325" s="212">
        <v>5940</v>
      </c>
    </row>
    <row r="326" spans="1:10" ht="14.1" customHeight="1" x14ac:dyDescent="0.15">
      <c r="A326" s="221"/>
      <c r="B326" s="221"/>
      <c r="C326" s="221"/>
      <c r="D326" s="210" t="s">
        <v>84</v>
      </c>
      <c r="E326" s="212">
        <v>75</v>
      </c>
      <c r="F326" s="212">
        <v>2410</v>
      </c>
      <c r="G326" s="212">
        <v>180750</v>
      </c>
      <c r="H326" s="212">
        <v>925</v>
      </c>
      <c r="I326" s="212">
        <v>69375</v>
      </c>
      <c r="J326" s="212">
        <v>111375</v>
      </c>
    </row>
    <row r="327" spans="1:10" ht="14.1" customHeight="1" x14ac:dyDescent="0.15">
      <c r="A327" s="221"/>
      <c r="B327" s="221"/>
      <c r="C327" s="221"/>
      <c r="D327" s="210" t="s">
        <v>148</v>
      </c>
      <c r="E327" s="212">
        <v>4</v>
      </c>
      <c r="F327" s="212">
        <v>1205</v>
      </c>
      <c r="G327" s="212">
        <v>4820</v>
      </c>
      <c r="H327" s="212">
        <v>925</v>
      </c>
      <c r="I327" s="212">
        <v>3700</v>
      </c>
      <c r="J327" s="212">
        <v>1120</v>
      </c>
    </row>
    <row r="328" spans="1:10" ht="29.1" customHeight="1" x14ac:dyDescent="0.15">
      <c r="A328" s="221"/>
      <c r="B328" s="221"/>
      <c r="C328" s="222" t="s">
        <v>159</v>
      </c>
      <c r="D328" s="210" t="s">
        <v>101</v>
      </c>
      <c r="E328" s="212">
        <v>1</v>
      </c>
      <c r="F328" s="212">
        <v>46407</v>
      </c>
      <c r="G328" s="212">
        <v>46407</v>
      </c>
      <c r="H328" s="212">
        <v>2346</v>
      </c>
      <c r="I328" s="212">
        <v>2346</v>
      </c>
      <c r="J328" s="212">
        <v>44061</v>
      </c>
    </row>
    <row r="329" spans="1:10" ht="14.1" customHeight="1" x14ac:dyDescent="0.15">
      <c r="A329" s="221"/>
      <c r="B329" s="221"/>
      <c r="C329" s="221"/>
      <c r="D329" s="210" t="s">
        <v>79</v>
      </c>
      <c r="E329" s="212">
        <v>21</v>
      </c>
      <c r="F329" s="212">
        <v>28332</v>
      </c>
      <c r="G329" s="212">
        <v>594972</v>
      </c>
      <c r="H329" s="212">
        <v>2346</v>
      </c>
      <c r="I329" s="212">
        <v>49266</v>
      </c>
      <c r="J329" s="212">
        <v>545706</v>
      </c>
    </row>
    <row r="330" spans="1:10" ht="14.1" customHeight="1" x14ac:dyDescent="0.15">
      <c r="A330" s="221"/>
      <c r="B330" s="221"/>
      <c r="C330" s="221"/>
      <c r="D330" s="210" t="s">
        <v>73</v>
      </c>
      <c r="E330" s="212">
        <v>6</v>
      </c>
      <c r="F330" s="212">
        <v>14548</v>
      </c>
      <c r="G330" s="212">
        <v>87288</v>
      </c>
      <c r="H330" s="212">
        <v>2346</v>
      </c>
      <c r="I330" s="212">
        <v>14076</v>
      </c>
      <c r="J330" s="212">
        <v>73212</v>
      </c>
    </row>
    <row r="331" spans="1:10" ht="14.1" customHeight="1" x14ac:dyDescent="0.15">
      <c r="A331" s="221"/>
      <c r="B331" s="221"/>
      <c r="C331" s="221"/>
      <c r="D331" s="210" t="s">
        <v>74</v>
      </c>
      <c r="E331" s="212">
        <v>7</v>
      </c>
      <c r="F331" s="212">
        <v>11461</v>
      </c>
      <c r="G331" s="212">
        <v>80227</v>
      </c>
      <c r="H331" s="212">
        <v>2346</v>
      </c>
      <c r="I331" s="212">
        <v>16422</v>
      </c>
      <c r="J331" s="212">
        <v>63805</v>
      </c>
    </row>
    <row r="332" spans="1:10" ht="14.1" customHeight="1" x14ac:dyDescent="0.15">
      <c r="A332" s="221"/>
      <c r="B332" s="221"/>
      <c r="C332" s="221"/>
      <c r="D332" s="210" t="s">
        <v>71</v>
      </c>
      <c r="E332" s="212">
        <v>312</v>
      </c>
      <c r="F332" s="212">
        <v>8249</v>
      </c>
      <c r="G332" s="212">
        <v>2573688</v>
      </c>
      <c r="H332" s="212">
        <v>2346</v>
      </c>
      <c r="I332" s="212">
        <v>731952</v>
      </c>
      <c r="J332" s="212">
        <v>1841736</v>
      </c>
    </row>
    <row r="333" spans="1:10" ht="14.1" customHeight="1" x14ac:dyDescent="0.15">
      <c r="A333" s="221"/>
      <c r="B333" s="221"/>
      <c r="C333" s="221"/>
      <c r="D333" s="210" t="s">
        <v>72</v>
      </c>
      <c r="E333" s="212">
        <v>1</v>
      </c>
      <c r="F333" s="212">
        <v>5672</v>
      </c>
      <c r="G333" s="212">
        <v>5672</v>
      </c>
      <c r="H333" s="212">
        <v>2346</v>
      </c>
      <c r="I333" s="212">
        <v>2346</v>
      </c>
      <c r="J333" s="212">
        <v>3326</v>
      </c>
    </row>
    <row r="334" spans="1:10" ht="14.1" customHeight="1" x14ac:dyDescent="0.15">
      <c r="A334" s="221"/>
      <c r="B334" s="221"/>
      <c r="C334" s="221"/>
      <c r="D334" s="210" t="s">
        <v>82</v>
      </c>
      <c r="E334" s="212">
        <v>2</v>
      </c>
      <c r="F334" s="212">
        <v>3831</v>
      </c>
      <c r="G334" s="212">
        <v>7662</v>
      </c>
      <c r="H334" s="212">
        <v>2346</v>
      </c>
      <c r="I334" s="212">
        <v>4692</v>
      </c>
      <c r="J334" s="212">
        <v>2970</v>
      </c>
    </row>
    <row r="335" spans="1:10" ht="14.1" customHeight="1" x14ac:dyDescent="0.15">
      <c r="A335" s="221"/>
      <c r="B335" s="221"/>
      <c r="C335" s="221"/>
      <c r="D335" s="210" t="s">
        <v>75</v>
      </c>
      <c r="E335" s="212">
        <v>1</v>
      </c>
      <c r="F335" s="212">
        <v>2626</v>
      </c>
      <c r="G335" s="212">
        <v>2626</v>
      </c>
      <c r="H335" s="212">
        <v>2346</v>
      </c>
      <c r="I335" s="212">
        <v>2346</v>
      </c>
      <c r="J335" s="212">
        <v>280</v>
      </c>
    </row>
    <row r="336" spans="1:10" ht="29.1" customHeight="1" x14ac:dyDescent="0.15">
      <c r="A336" s="221"/>
      <c r="B336" s="221"/>
      <c r="C336" s="222" t="s">
        <v>161</v>
      </c>
      <c r="D336" s="210" t="s">
        <v>88</v>
      </c>
      <c r="E336" s="212">
        <v>25</v>
      </c>
      <c r="F336" s="212">
        <v>61914</v>
      </c>
      <c r="G336" s="212">
        <v>1547850</v>
      </c>
      <c r="H336" s="212">
        <v>1627</v>
      </c>
      <c r="I336" s="212">
        <v>40675</v>
      </c>
      <c r="J336" s="212">
        <v>1507175</v>
      </c>
    </row>
    <row r="337" spans="1:10" ht="14.1" customHeight="1" x14ac:dyDescent="0.15">
      <c r="A337" s="221"/>
      <c r="B337" s="221"/>
      <c r="C337" s="221"/>
      <c r="D337" s="210" t="s">
        <v>101</v>
      </c>
      <c r="E337" s="212">
        <v>523</v>
      </c>
      <c r="F337" s="212">
        <v>45688</v>
      </c>
      <c r="G337" s="212">
        <v>23894824</v>
      </c>
      <c r="H337" s="212">
        <v>1627</v>
      </c>
      <c r="I337" s="212">
        <v>850921</v>
      </c>
      <c r="J337" s="212">
        <v>23043903</v>
      </c>
    </row>
    <row r="338" spans="1:10" ht="14.1" customHeight="1" x14ac:dyDescent="0.15">
      <c r="A338" s="221"/>
      <c r="B338" s="221"/>
      <c r="C338" s="221"/>
      <c r="D338" s="210" t="s">
        <v>79</v>
      </c>
      <c r="E338" s="212">
        <v>3472</v>
      </c>
      <c r="F338" s="212">
        <v>27613</v>
      </c>
      <c r="G338" s="212">
        <v>95872336</v>
      </c>
      <c r="H338" s="212">
        <v>1627</v>
      </c>
      <c r="I338" s="212">
        <v>5648944</v>
      </c>
      <c r="J338" s="212">
        <v>90223392</v>
      </c>
    </row>
    <row r="339" spans="1:10" ht="14.1" customHeight="1" x14ac:dyDescent="0.15">
      <c r="A339" s="221"/>
      <c r="B339" s="221"/>
      <c r="C339" s="221"/>
      <c r="D339" s="210" t="s">
        <v>73</v>
      </c>
      <c r="E339" s="212">
        <v>4371</v>
      </c>
      <c r="F339" s="212">
        <v>13829</v>
      </c>
      <c r="G339" s="212">
        <v>60446559</v>
      </c>
      <c r="H339" s="212">
        <v>1627</v>
      </c>
      <c r="I339" s="212">
        <v>7111617</v>
      </c>
      <c r="J339" s="212">
        <v>53334942</v>
      </c>
    </row>
    <row r="340" spans="1:10" ht="14.1" customHeight="1" x14ac:dyDescent="0.15">
      <c r="A340" s="221"/>
      <c r="B340" s="221"/>
      <c r="C340" s="221"/>
      <c r="D340" s="210" t="s">
        <v>74</v>
      </c>
      <c r="E340" s="212">
        <v>7736</v>
      </c>
      <c r="F340" s="212">
        <v>10742</v>
      </c>
      <c r="G340" s="212">
        <v>83100112</v>
      </c>
      <c r="H340" s="212">
        <v>1627</v>
      </c>
      <c r="I340" s="212">
        <v>12586472</v>
      </c>
      <c r="J340" s="212">
        <v>70513640</v>
      </c>
    </row>
    <row r="341" spans="1:10" ht="14.1" customHeight="1" x14ac:dyDescent="0.15">
      <c r="A341" s="221"/>
      <c r="B341" s="221"/>
      <c r="C341" s="221"/>
      <c r="D341" s="210" t="s">
        <v>71</v>
      </c>
      <c r="E341" s="212">
        <v>12698</v>
      </c>
      <c r="F341" s="212">
        <v>7530</v>
      </c>
      <c r="G341" s="212">
        <v>95615940</v>
      </c>
      <c r="H341" s="212">
        <v>1627</v>
      </c>
      <c r="I341" s="212">
        <v>20659646</v>
      </c>
      <c r="J341" s="212">
        <v>74956294</v>
      </c>
    </row>
    <row r="342" spans="1:10" ht="14.1" customHeight="1" x14ac:dyDescent="0.15">
      <c r="A342" s="221"/>
      <c r="B342" s="221"/>
      <c r="C342" s="221"/>
      <c r="D342" s="210" t="s">
        <v>72</v>
      </c>
      <c r="E342" s="212">
        <v>808</v>
      </c>
      <c r="F342" s="212">
        <v>4953</v>
      </c>
      <c r="G342" s="212">
        <v>4002024</v>
      </c>
      <c r="H342" s="212">
        <v>1627</v>
      </c>
      <c r="I342" s="212">
        <v>1314616</v>
      </c>
      <c r="J342" s="212">
        <v>2687408</v>
      </c>
    </row>
    <row r="343" spans="1:10" ht="14.1" customHeight="1" x14ac:dyDescent="0.15">
      <c r="A343" s="221"/>
      <c r="B343" s="221"/>
      <c r="C343" s="221"/>
      <c r="D343" s="210" t="s">
        <v>82</v>
      </c>
      <c r="E343" s="212">
        <v>685</v>
      </c>
      <c r="F343" s="212">
        <v>3112</v>
      </c>
      <c r="G343" s="212">
        <v>2131720</v>
      </c>
      <c r="H343" s="212">
        <v>1627</v>
      </c>
      <c r="I343" s="212">
        <v>1114495</v>
      </c>
      <c r="J343" s="212">
        <v>1017225</v>
      </c>
    </row>
    <row r="344" spans="1:10" ht="14.1" customHeight="1" x14ac:dyDescent="0.15">
      <c r="A344" s="221"/>
      <c r="B344" s="221"/>
      <c r="C344" s="221"/>
      <c r="D344" s="210" t="s">
        <v>75</v>
      </c>
      <c r="E344" s="212">
        <v>559</v>
      </c>
      <c r="F344" s="212">
        <v>1907</v>
      </c>
      <c r="G344" s="212">
        <v>1066013</v>
      </c>
      <c r="H344" s="212">
        <v>1627</v>
      </c>
      <c r="I344" s="212">
        <v>909493</v>
      </c>
      <c r="J344" s="212">
        <v>156520</v>
      </c>
    </row>
    <row r="345" spans="1:10" ht="14.1" customHeight="1" x14ac:dyDescent="0.15">
      <c r="A345" s="221" t="s">
        <v>93</v>
      </c>
      <c r="B345" s="221" t="s">
        <v>53</v>
      </c>
      <c r="C345" s="221"/>
      <c r="D345" s="221"/>
      <c r="E345" s="212">
        <v>2052</v>
      </c>
      <c r="F345" s="212">
        <v>306485</v>
      </c>
      <c r="G345" s="212">
        <v>44405601</v>
      </c>
      <c r="H345" s="212"/>
      <c r="I345" s="212">
        <v>1473169</v>
      </c>
      <c r="J345" s="212">
        <v>42932432</v>
      </c>
    </row>
    <row r="346" spans="1:10" ht="14.1" customHeight="1" x14ac:dyDescent="0.15">
      <c r="A346" s="221"/>
      <c r="B346" s="210" t="s">
        <v>63</v>
      </c>
      <c r="C346" s="210" t="s">
        <v>64</v>
      </c>
      <c r="D346" s="210" t="s">
        <v>65</v>
      </c>
      <c r="E346" s="218">
        <v>1</v>
      </c>
      <c r="F346" s="218">
        <v>10139</v>
      </c>
      <c r="G346" s="218">
        <v>10139</v>
      </c>
      <c r="H346" s="218">
        <v>0</v>
      </c>
      <c r="I346" s="218">
        <v>0</v>
      </c>
      <c r="J346" s="218">
        <v>10139</v>
      </c>
    </row>
    <row r="347" spans="1:10" ht="14.1" customHeight="1" x14ac:dyDescent="0.15">
      <c r="A347" s="221"/>
      <c r="B347" s="220" t="s">
        <v>66</v>
      </c>
      <c r="C347" s="211" t="s">
        <v>67</v>
      </c>
      <c r="D347" s="210" t="s">
        <v>132</v>
      </c>
      <c r="E347" s="219"/>
      <c r="F347" s="219"/>
      <c r="G347" s="219"/>
      <c r="H347" s="219"/>
      <c r="I347" s="219"/>
      <c r="J347" s="219"/>
    </row>
    <row r="348" spans="1:10" ht="29.1" customHeight="1" x14ac:dyDescent="0.15">
      <c r="A348" s="221"/>
      <c r="B348" s="221"/>
      <c r="C348" s="209" t="s">
        <v>161</v>
      </c>
      <c r="D348" s="210" t="s">
        <v>133</v>
      </c>
      <c r="E348" s="212">
        <v>6</v>
      </c>
      <c r="F348" s="212">
        <v>10841</v>
      </c>
      <c r="G348" s="212">
        <v>65046</v>
      </c>
      <c r="H348" s="212">
        <v>1627</v>
      </c>
      <c r="I348" s="212">
        <v>9762</v>
      </c>
      <c r="J348" s="212">
        <v>55284</v>
      </c>
    </row>
    <row r="349" spans="1:10" ht="42.95" customHeight="1" x14ac:dyDescent="0.15">
      <c r="A349" s="221"/>
      <c r="B349" s="222" t="s">
        <v>215</v>
      </c>
      <c r="C349" s="223" t="s">
        <v>67</v>
      </c>
      <c r="D349" s="210" t="s">
        <v>145</v>
      </c>
      <c r="E349" s="212">
        <v>4</v>
      </c>
      <c r="F349" s="212">
        <v>26911</v>
      </c>
      <c r="G349" s="212">
        <v>107644</v>
      </c>
      <c r="H349" s="212">
        <v>0</v>
      </c>
      <c r="I349" s="212">
        <v>0</v>
      </c>
      <c r="J349" s="212">
        <v>107644</v>
      </c>
    </row>
    <row r="350" spans="1:10" ht="14.1" customHeight="1" x14ac:dyDescent="0.15">
      <c r="A350" s="221"/>
      <c r="B350" s="221"/>
      <c r="C350" s="221"/>
      <c r="D350" s="210" t="s">
        <v>85</v>
      </c>
      <c r="E350" s="212">
        <v>2</v>
      </c>
      <c r="F350" s="212">
        <v>26911</v>
      </c>
      <c r="G350" s="212">
        <v>53822</v>
      </c>
      <c r="H350" s="212">
        <v>0</v>
      </c>
      <c r="I350" s="212">
        <v>0</v>
      </c>
      <c r="J350" s="212">
        <v>53822</v>
      </c>
    </row>
    <row r="351" spans="1:10" ht="14.1" customHeight="1" x14ac:dyDescent="0.15">
      <c r="A351" s="221"/>
      <c r="B351" s="221"/>
      <c r="C351" s="221"/>
      <c r="D351" s="210" t="s">
        <v>141</v>
      </c>
      <c r="E351" s="212">
        <v>2</v>
      </c>
      <c r="F351" s="212">
        <v>13127</v>
      </c>
      <c r="G351" s="212">
        <v>26254</v>
      </c>
      <c r="H351" s="212">
        <v>0</v>
      </c>
      <c r="I351" s="212">
        <v>0</v>
      </c>
      <c r="J351" s="212">
        <v>26254</v>
      </c>
    </row>
    <row r="352" spans="1:10" ht="14.1" customHeight="1" x14ac:dyDescent="0.15">
      <c r="A352" s="221"/>
      <c r="B352" s="221"/>
      <c r="C352" s="221"/>
      <c r="D352" s="210" t="s">
        <v>77</v>
      </c>
      <c r="E352" s="212">
        <v>2</v>
      </c>
      <c r="F352" s="212">
        <v>6828</v>
      </c>
      <c r="G352" s="212">
        <v>13656</v>
      </c>
      <c r="H352" s="212">
        <v>0</v>
      </c>
      <c r="I352" s="212">
        <v>0</v>
      </c>
      <c r="J352" s="212">
        <v>13656</v>
      </c>
    </row>
    <row r="353" spans="1:10" ht="14.1" customHeight="1" x14ac:dyDescent="0.15">
      <c r="A353" s="221"/>
      <c r="B353" s="221"/>
      <c r="C353" s="221"/>
      <c r="D353" s="210" t="s">
        <v>142</v>
      </c>
      <c r="E353" s="212">
        <v>2</v>
      </c>
      <c r="F353" s="212">
        <v>4097</v>
      </c>
      <c r="G353" s="212">
        <v>8194</v>
      </c>
      <c r="H353" s="212">
        <v>0</v>
      </c>
      <c r="I353" s="212">
        <v>0</v>
      </c>
      <c r="J353" s="212">
        <v>8194</v>
      </c>
    </row>
    <row r="354" spans="1:10" ht="14.1" customHeight="1" x14ac:dyDescent="0.15">
      <c r="A354" s="221"/>
      <c r="B354" s="221"/>
      <c r="C354" s="221"/>
      <c r="D354" s="210" t="s">
        <v>143</v>
      </c>
      <c r="E354" s="212">
        <v>1</v>
      </c>
      <c r="F354" s="212">
        <v>5103</v>
      </c>
      <c r="G354" s="212">
        <v>5103</v>
      </c>
      <c r="H354" s="212">
        <v>0</v>
      </c>
      <c r="I354" s="212">
        <v>0</v>
      </c>
      <c r="J354" s="212">
        <v>5103</v>
      </c>
    </row>
    <row r="355" spans="1:10" ht="29.1" customHeight="1" x14ac:dyDescent="0.15">
      <c r="A355" s="221"/>
      <c r="B355" s="221"/>
      <c r="C355" s="222" t="s">
        <v>159</v>
      </c>
      <c r="D355" s="210" t="s">
        <v>79</v>
      </c>
      <c r="E355" s="212">
        <v>14</v>
      </c>
      <c r="F355" s="212">
        <v>28332</v>
      </c>
      <c r="G355" s="212">
        <v>396648</v>
      </c>
      <c r="H355" s="212">
        <v>1421</v>
      </c>
      <c r="I355" s="212">
        <v>19894</v>
      </c>
      <c r="J355" s="212">
        <v>376754</v>
      </c>
    </row>
    <row r="356" spans="1:10" ht="14.1" customHeight="1" x14ac:dyDescent="0.15">
      <c r="A356" s="221"/>
      <c r="B356" s="221"/>
      <c r="C356" s="221"/>
      <c r="D356" s="210" t="s">
        <v>140</v>
      </c>
      <c r="E356" s="212">
        <v>1</v>
      </c>
      <c r="F356" s="212">
        <v>6524</v>
      </c>
      <c r="G356" s="212">
        <v>6524</v>
      </c>
      <c r="H356" s="212">
        <v>1421</v>
      </c>
      <c r="I356" s="212">
        <v>1421</v>
      </c>
      <c r="J356" s="212">
        <v>5103</v>
      </c>
    </row>
    <row r="357" spans="1:10" ht="29.1" customHeight="1" x14ac:dyDescent="0.15">
      <c r="A357" s="221"/>
      <c r="B357" s="221"/>
      <c r="C357" s="222" t="s">
        <v>160</v>
      </c>
      <c r="D357" s="210" t="s">
        <v>79</v>
      </c>
      <c r="E357" s="212">
        <v>2</v>
      </c>
      <c r="F357" s="212">
        <v>27613</v>
      </c>
      <c r="G357" s="212">
        <v>55226</v>
      </c>
      <c r="H357" s="212">
        <v>1367</v>
      </c>
      <c r="I357" s="212">
        <v>2734</v>
      </c>
      <c r="J357" s="212">
        <v>52492</v>
      </c>
    </row>
    <row r="358" spans="1:10" ht="14.1" customHeight="1" x14ac:dyDescent="0.15">
      <c r="A358" s="221"/>
      <c r="B358" s="221"/>
      <c r="C358" s="221"/>
      <c r="D358" s="210" t="s">
        <v>73</v>
      </c>
      <c r="E358" s="212">
        <v>6</v>
      </c>
      <c r="F358" s="212">
        <v>14494</v>
      </c>
      <c r="G358" s="212">
        <v>86964</v>
      </c>
      <c r="H358" s="212">
        <v>1367</v>
      </c>
      <c r="I358" s="212">
        <v>8202</v>
      </c>
      <c r="J358" s="212">
        <v>78762</v>
      </c>
    </row>
    <row r="359" spans="1:10" ht="14.1" customHeight="1" x14ac:dyDescent="0.15">
      <c r="A359" s="221"/>
      <c r="B359" s="221"/>
      <c r="C359" s="221"/>
      <c r="D359" s="210" t="s">
        <v>71</v>
      </c>
      <c r="E359" s="212">
        <v>31</v>
      </c>
      <c r="F359" s="212">
        <v>7530</v>
      </c>
      <c r="G359" s="212">
        <v>233430</v>
      </c>
      <c r="H359" s="212">
        <v>1367</v>
      </c>
      <c r="I359" s="212">
        <v>42377</v>
      </c>
      <c r="J359" s="212">
        <v>191053</v>
      </c>
    </row>
    <row r="360" spans="1:10" ht="29.1" customHeight="1" x14ac:dyDescent="0.15">
      <c r="A360" s="221"/>
      <c r="B360" s="221"/>
      <c r="C360" s="222" t="s">
        <v>161</v>
      </c>
      <c r="D360" s="210" t="s">
        <v>101</v>
      </c>
      <c r="E360" s="212">
        <v>17</v>
      </c>
      <c r="F360" s="212">
        <v>45688</v>
      </c>
      <c r="G360" s="212">
        <v>776696</v>
      </c>
      <c r="H360" s="212">
        <v>702</v>
      </c>
      <c r="I360" s="212">
        <v>11934</v>
      </c>
      <c r="J360" s="212">
        <v>764762</v>
      </c>
    </row>
    <row r="361" spans="1:10" ht="14.1" customHeight="1" x14ac:dyDescent="0.15">
      <c r="A361" s="221"/>
      <c r="B361" s="221"/>
      <c r="C361" s="221"/>
      <c r="D361" s="210" t="s">
        <v>79</v>
      </c>
      <c r="E361" s="212">
        <v>1243</v>
      </c>
      <c r="F361" s="212">
        <v>27613</v>
      </c>
      <c r="G361" s="212">
        <v>34322959</v>
      </c>
      <c r="H361" s="212">
        <v>702</v>
      </c>
      <c r="I361" s="212">
        <v>872586</v>
      </c>
      <c r="J361" s="212">
        <v>33450373</v>
      </c>
    </row>
    <row r="362" spans="1:10" ht="14.1" customHeight="1" x14ac:dyDescent="0.15">
      <c r="A362" s="221"/>
      <c r="B362" s="221"/>
      <c r="C362" s="221"/>
      <c r="D362" s="210" t="s">
        <v>73</v>
      </c>
      <c r="E362" s="212">
        <v>390</v>
      </c>
      <c r="F362" s="212">
        <v>13829</v>
      </c>
      <c r="G362" s="212">
        <v>5393310</v>
      </c>
      <c r="H362" s="212">
        <v>702</v>
      </c>
      <c r="I362" s="212">
        <v>273780</v>
      </c>
      <c r="J362" s="212">
        <v>5119530</v>
      </c>
    </row>
    <row r="363" spans="1:10" ht="14.1" customHeight="1" x14ac:dyDescent="0.15">
      <c r="A363" s="221"/>
      <c r="B363" s="221"/>
      <c r="C363" s="221"/>
      <c r="D363" s="210" t="s">
        <v>74</v>
      </c>
      <c r="E363" s="212">
        <v>179</v>
      </c>
      <c r="F363" s="212">
        <v>10742</v>
      </c>
      <c r="G363" s="212">
        <v>1922818</v>
      </c>
      <c r="H363" s="212">
        <v>702</v>
      </c>
      <c r="I363" s="212">
        <v>125658</v>
      </c>
      <c r="J363" s="212">
        <v>1797160</v>
      </c>
    </row>
    <row r="364" spans="1:10" ht="14.1" customHeight="1" x14ac:dyDescent="0.15">
      <c r="A364" s="221"/>
      <c r="B364" s="221"/>
      <c r="C364" s="221"/>
      <c r="D364" s="210" t="s">
        <v>71</v>
      </c>
      <c r="E364" s="212">
        <v>32</v>
      </c>
      <c r="F364" s="212">
        <v>7530</v>
      </c>
      <c r="G364" s="212">
        <v>240960</v>
      </c>
      <c r="H364" s="212">
        <v>702</v>
      </c>
      <c r="I364" s="212">
        <v>22464</v>
      </c>
      <c r="J364" s="212">
        <v>218496</v>
      </c>
    </row>
    <row r="365" spans="1:10" ht="14.1" customHeight="1" x14ac:dyDescent="0.15">
      <c r="A365" s="221"/>
      <c r="B365" s="221"/>
      <c r="C365" s="221"/>
      <c r="D365" s="210" t="s">
        <v>140</v>
      </c>
      <c r="E365" s="212">
        <v>116</v>
      </c>
      <c r="F365" s="212">
        <v>5805</v>
      </c>
      <c r="G365" s="212">
        <v>673380</v>
      </c>
      <c r="H365" s="212">
        <v>702</v>
      </c>
      <c r="I365" s="212">
        <v>81432</v>
      </c>
      <c r="J365" s="212">
        <v>591948</v>
      </c>
    </row>
    <row r="366" spans="1:10" ht="14.1" customHeight="1" x14ac:dyDescent="0.15">
      <c r="A366" s="221"/>
      <c r="B366" s="213" t="s">
        <v>168</v>
      </c>
      <c r="C366" s="211" t="s">
        <v>67</v>
      </c>
      <c r="D366" s="210" t="s">
        <v>77</v>
      </c>
      <c r="E366" s="212">
        <v>1</v>
      </c>
      <c r="F366" s="212">
        <v>6828</v>
      </c>
      <c r="G366" s="212">
        <v>6828</v>
      </c>
      <c r="H366" s="212">
        <v>925</v>
      </c>
      <c r="I366" s="212">
        <v>925</v>
      </c>
      <c r="J366" s="212">
        <v>5903</v>
      </c>
    </row>
    <row r="367" spans="1:10" ht="29.1" customHeight="1" x14ac:dyDescent="0.15">
      <c r="A367" s="222" t="s">
        <v>113</v>
      </c>
      <c r="B367" s="221" t="s">
        <v>53</v>
      </c>
      <c r="C367" s="221"/>
      <c r="D367" s="221"/>
      <c r="E367" s="212">
        <v>2868</v>
      </c>
      <c r="F367" s="212">
        <v>377392</v>
      </c>
      <c r="G367" s="212">
        <v>46718438</v>
      </c>
      <c r="H367" s="212"/>
      <c r="I367" s="212">
        <v>2060482</v>
      </c>
      <c r="J367" s="212">
        <v>44657956</v>
      </c>
    </row>
    <row r="368" spans="1:10" ht="14.1" customHeight="1" x14ac:dyDescent="0.15">
      <c r="A368" s="221"/>
      <c r="B368" s="210" t="s">
        <v>63</v>
      </c>
      <c r="C368" s="210" t="s">
        <v>64</v>
      </c>
      <c r="D368" s="210" t="s">
        <v>65</v>
      </c>
      <c r="E368" s="218">
        <v>2</v>
      </c>
      <c r="F368" s="218">
        <v>10139</v>
      </c>
      <c r="G368" s="218">
        <v>20278</v>
      </c>
      <c r="H368" s="218">
        <v>0</v>
      </c>
      <c r="I368" s="218">
        <v>0</v>
      </c>
      <c r="J368" s="218">
        <v>20278</v>
      </c>
    </row>
    <row r="369" spans="1:10" ht="14.1" customHeight="1" x14ac:dyDescent="0.15">
      <c r="A369" s="221"/>
      <c r="B369" s="220" t="s">
        <v>66</v>
      </c>
      <c r="C369" s="211" t="s">
        <v>67</v>
      </c>
      <c r="D369" s="210" t="s">
        <v>134</v>
      </c>
      <c r="E369" s="219"/>
      <c r="F369" s="219"/>
      <c r="G369" s="219"/>
      <c r="H369" s="219"/>
      <c r="I369" s="219"/>
      <c r="J369" s="219"/>
    </row>
    <row r="370" spans="1:10" ht="29.1" customHeight="1" x14ac:dyDescent="0.15">
      <c r="A370" s="221"/>
      <c r="B370" s="221"/>
      <c r="C370" s="209" t="s">
        <v>161</v>
      </c>
      <c r="D370" s="210" t="s">
        <v>133</v>
      </c>
      <c r="E370" s="212">
        <v>12</v>
      </c>
      <c r="F370" s="212">
        <v>10841</v>
      </c>
      <c r="G370" s="212">
        <v>130092</v>
      </c>
      <c r="H370" s="212">
        <v>1627</v>
      </c>
      <c r="I370" s="212">
        <v>19524</v>
      </c>
      <c r="J370" s="212">
        <v>110568</v>
      </c>
    </row>
    <row r="371" spans="1:10" ht="42.95" customHeight="1" x14ac:dyDescent="0.15">
      <c r="A371" s="221"/>
      <c r="B371" s="222" t="s">
        <v>215</v>
      </c>
      <c r="C371" s="223" t="s">
        <v>67</v>
      </c>
      <c r="D371" s="210" t="s">
        <v>145</v>
      </c>
      <c r="E371" s="212">
        <v>4</v>
      </c>
      <c r="F371" s="212">
        <v>26911</v>
      </c>
      <c r="G371" s="212">
        <v>107644</v>
      </c>
      <c r="H371" s="212">
        <v>0</v>
      </c>
      <c r="I371" s="212">
        <v>0</v>
      </c>
      <c r="J371" s="212">
        <v>107644</v>
      </c>
    </row>
    <row r="372" spans="1:10" ht="14.1" customHeight="1" x14ac:dyDescent="0.15">
      <c r="A372" s="221"/>
      <c r="B372" s="221"/>
      <c r="C372" s="221"/>
      <c r="D372" s="210" t="s">
        <v>85</v>
      </c>
      <c r="E372" s="212">
        <v>8</v>
      </c>
      <c r="F372" s="212">
        <v>26911</v>
      </c>
      <c r="G372" s="212">
        <v>215288</v>
      </c>
      <c r="H372" s="212">
        <v>0</v>
      </c>
      <c r="I372" s="212">
        <v>0</v>
      </c>
      <c r="J372" s="212">
        <v>215288</v>
      </c>
    </row>
    <row r="373" spans="1:10" ht="14.1" customHeight="1" x14ac:dyDescent="0.15">
      <c r="A373" s="221"/>
      <c r="B373" s="221"/>
      <c r="C373" s="221"/>
      <c r="D373" s="210" t="s">
        <v>141</v>
      </c>
      <c r="E373" s="212">
        <v>12</v>
      </c>
      <c r="F373" s="212">
        <v>13127</v>
      </c>
      <c r="G373" s="212">
        <v>157524</v>
      </c>
      <c r="H373" s="212">
        <v>0</v>
      </c>
      <c r="I373" s="212">
        <v>0</v>
      </c>
      <c r="J373" s="212">
        <v>157524</v>
      </c>
    </row>
    <row r="374" spans="1:10" ht="14.1" customHeight="1" x14ac:dyDescent="0.15">
      <c r="A374" s="221"/>
      <c r="B374" s="221"/>
      <c r="C374" s="221"/>
      <c r="D374" s="210" t="s">
        <v>78</v>
      </c>
      <c r="E374" s="212">
        <v>3</v>
      </c>
      <c r="F374" s="212">
        <v>13127</v>
      </c>
      <c r="G374" s="212">
        <v>39381</v>
      </c>
      <c r="H374" s="212">
        <v>0</v>
      </c>
      <c r="I374" s="212">
        <v>0</v>
      </c>
      <c r="J374" s="212">
        <v>39381</v>
      </c>
    </row>
    <row r="375" spans="1:10" ht="14.1" customHeight="1" x14ac:dyDescent="0.15">
      <c r="A375" s="221"/>
      <c r="B375" s="221"/>
      <c r="C375" s="221"/>
      <c r="D375" s="210" t="s">
        <v>83</v>
      </c>
      <c r="E375" s="212">
        <v>4</v>
      </c>
      <c r="F375" s="212">
        <v>10040</v>
      </c>
      <c r="G375" s="212">
        <v>40160</v>
      </c>
      <c r="H375" s="212">
        <v>0</v>
      </c>
      <c r="I375" s="212">
        <v>0</v>
      </c>
      <c r="J375" s="212">
        <v>40160</v>
      </c>
    </row>
    <row r="376" spans="1:10" ht="14.1" customHeight="1" x14ac:dyDescent="0.15">
      <c r="A376" s="221"/>
      <c r="B376" s="221"/>
      <c r="C376" s="221"/>
      <c r="D376" s="210" t="s">
        <v>136</v>
      </c>
      <c r="E376" s="212">
        <v>2</v>
      </c>
      <c r="F376" s="212">
        <v>6828</v>
      </c>
      <c r="G376" s="212">
        <v>13656</v>
      </c>
      <c r="H376" s="212">
        <v>0</v>
      </c>
      <c r="I376" s="212">
        <v>0</v>
      </c>
      <c r="J376" s="212">
        <v>13656</v>
      </c>
    </row>
    <row r="377" spans="1:10" ht="14.1" customHeight="1" x14ac:dyDescent="0.15">
      <c r="A377" s="221"/>
      <c r="B377" s="221"/>
      <c r="C377" s="221"/>
      <c r="D377" s="210" t="s">
        <v>77</v>
      </c>
      <c r="E377" s="212">
        <v>9</v>
      </c>
      <c r="F377" s="212">
        <v>6828</v>
      </c>
      <c r="G377" s="212">
        <v>61452</v>
      </c>
      <c r="H377" s="212">
        <v>0</v>
      </c>
      <c r="I377" s="212">
        <v>0</v>
      </c>
      <c r="J377" s="212">
        <v>61452</v>
      </c>
    </row>
    <row r="378" spans="1:10" ht="14.1" customHeight="1" x14ac:dyDescent="0.15">
      <c r="A378" s="221"/>
      <c r="B378" s="221"/>
      <c r="C378" s="221"/>
      <c r="D378" s="210" t="s">
        <v>143</v>
      </c>
      <c r="E378" s="212">
        <v>1</v>
      </c>
      <c r="F378" s="212">
        <v>5103</v>
      </c>
      <c r="G378" s="212">
        <v>5103</v>
      </c>
      <c r="H378" s="212">
        <v>0</v>
      </c>
      <c r="I378" s="212">
        <v>0</v>
      </c>
      <c r="J378" s="212">
        <v>5103</v>
      </c>
    </row>
    <row r="379" spans="1:10" ht="14.1" customHeight="1" x14ac:dyDescent="0.15">
      <c r="A379" s="221"/>
      <c r="B379" s="221"/>
      <c r="C379" s="221"/>
      <c r="D379" s="210" t="s">
        <v>138</v>
      </c>
      <c r="E379" s="212">
        <v>1</v>
      </c>
      <c r="F379" s="212">
        <v>5103</v>
      </c>
      <c r="G379" s="212">
        <v>5103</v>
      </c>
      <c r="H379" s="212">
        <v>0</v>
      </c>
      <c r="I379" s="212">
        <v>0</v>
      </c>
      <c r="J379" s="212">
        <v>5103</v>
      </c>
    </row>
    <row r="380" spans="1:10" ht="29.1" customHeight="1" x14ac:dyDescent="0.15">
      <c r="A380" s="221"/>
      <c r="B380" s="221"/>
      <c r="C380" s="222" t="s">
        <v>159</v>
      </c>
      <c r="D380" s="210" t="s">
        <v>79</v>
      </c>
      <c r="E380" s="212">
        <v>5</v>
      </c>
      <c r="F380" s="212">
        <v>28332</v>
      </c>
      <c r="G380" s="212">
        <v>141660</v>
      </c>
      <c r="H380" s="212">
        <v>1421</v>
      </c>
      <c r="I380" s="212">
        <v>7105</v>
      </c>
      <c r="J380" s="212">
        <v>134555</v>
      </c>
    </row>
    <row r="381" spans="1:10" ht="14.1" customHeight="1" x14ac:dyDescent="0.15">
      <c r="A381" s="221"/>
      <c r="B381" s="221"/>
      <c r="C381" s="221"/>
      <c r="D381" s="210" t="s">
        <v>73</v>
      </c>
      <c r="E381" s="212">
        <v>1</v>
      </c>
      <c r="F381" s="212">
        <v>14548</v>
      </c>
      <c r="G381" s="212">
        <v>14548</v>
      </c>
      <c r="H381" s="212">
        <v>1421</v>
      </c>
      <c r="I381" s="212">
        <v>1421</v>
      </c>
      <c r="J381" s="212">
        <v>13127</v>
      </c>
    </row>
    <row r="382" spans="1:10" ht="14.1" customHeight="1" x14ac:dyDescent="0.15">
      <c r="A382" s="221"/>
      <c r="B382" s="221"/>
      <c r="C382" s="221"/>
      <c r="D382" s="210" t="s">
        <v>74</v>
      </c>
      <c r="E382" s="212">
        <v>1</v>
      </c>
      <c r="F382" s="212">
        <v>11461</v>
      </c>
      <c r="G382" s="212">
        <v>11461</v>
      </c>
      <c r="H382" s="212">
        <v>1421</v>
      </c>
      <c r="I382" s="212">
        <v>1421</v>
      </c>
      <c r="J382" s="212">
        <v>10040</v>
      </c>
    </row>
    <row r="383" spans="1:10" ht="14.1" customHeight="1" x14ac:dyDescent="0.15">
      <c r="A383" s="221"/>
      <c r="B383" s="221"/>
      <c r="C383" s="221"/>
      <c r="D383" s="210" t="s">
        <v>71</v>
      </c>
      <c r="E383" s="212">
        <v>2</v>
      </c>
      <c r="F383" s="212">
        <v>8249</v>
      </c>
      <c r="G383" s="212">
        <v>16498</v>
      </c>
      <c r="H383" s="212">
        <v>1421</v>
      </c>
      <c r="I383" s="212">
        <v>2842</v>
      </c>
      <c r="J383" s="212">
        <v>13656</v>
      </c>
    </row>
    <row r="384" spans="1:10" ht="14.1" customHeight="1" x14ac:dyDescent="0.15">
      <c r="A384" s="221"/>
      <c r="B384" s="221"/>
      <c r="C384" s="221"/>
      <c r="D384" s="210" t="s">
        <v>140</v>
      </c>
      <c r="E384" s="212">
        <v>5</v>
      </c>
      <c r="F384" s="212">
        <v>6524</v>
      </c>
      <c r="G384" s="212">
        <v>32620</v>
      </c>
      <c r="H384" s="212">
        <v>1421</v>
      </c>
      <c r="I384" s="212">
        <v>7105</v>
      </c>
      <c r="J384" s="212">
        <v>25515</v>
      </c>
    </row>
    <row r="385" spans="1:10" ht="29.1" customHeight="1" x14ac:dyDescent="0.15">
      <c r="A385" s="221"/>
      <c r="B385" s="221"/>
      <c r="C385" s="222" t="s">
        <v>160</v>
      </c>
      <c r="D385" s="210" t="s">
        <v>73</v>
      </c>
      <c r="E385" s="212">
        <v>5</v>
      </c>
      <c r="F385" s="212">
        <v>14228</v>
      </c>
      <c r="G385" s="212">
        <v>71140</v>
      </c>
      <c r="H385" s="212">
        <v>1367</v>
      </c>
      <c r="I385" s="212">
        <v>6835</v>
      </c>
      <c r="J385" s="212">
        <v>64305</v>
      </c>
    </row>
    <row r="386" spans="1:10" ht="14.1" customHeight="1" x14ac:dyDescent="0.15">
      <c r="A386" s="221"/>
      <c r="B386" s="221"/>
      <c r="C386" s="221"/>
      <c r="D386" s="210" t="s">
        <v>71</v>
      </c>
      <c r="E386" s="212">
        <v>36</v>
      </c>
      <c r="F386" s="212">
        <v>7604</v>
      </c>
      <c r="G386" s="212">
        <v>273740</v>
      </c>
      <c r="H386" s="212">
        <v>1367</v>
      </c>
      <c r="I386" s="212">
        <v>49212</v>
      </c>
      <c r="J386" s="212">
        <v>224528</v>
      </c>
    </row>
    <row r="387" spans="1:10" ht="29.1" customHeight="1" x14ac:dyDescent="0.15">
      <c r="A387" s="221"/>
      <c r="B387" s="221"/>
      <c r="C387" s="222" t="s">
        <v>161</v>
      </c>
      <c r="D387" s="210" t="s">
        <v>79</v>
      </c>
      <c r="E387" s="212">
        <v>816</v>
      </c>
      <c r="F387" s="212">
        <v>27613</v>
      </c>
      <c r="G387" s="212">
        <v>22532208</v>
      </c>
      <c r="H387" s="212">
        <v>702</v>
      </c>
      <c r="I387" s="212">
        <v>572832</v>
      </c>
      <c r="J387" s="212">
        <v>21959376</v>
      </c>
    </row>
    <row r="388" spans="1:10" ht="14.1" customHeight="1" x14ac:dyDescent="0.15">
      <c r="A388" s="221"/>
      <c r="B388" s="221"/>
      <c r="C388" s="221"/>
      <c r="D388" s="210" t="s">
        <v>73</v>
      </c>
      <c r="E388" s="212">
        <v>1333</v>
      </c>
      <c r="F388" s="212">
        <v>13829</v>
      </c>
      <c r="G388" s="212">
        <v>18434057</v>
      </c>
      <c r="H388" s="212">
        <v>702</v>
      </c>
      <c r="I388" s="212">
        <v>935766</v>
      </c>
      <c r="J388" s="212">
        <v>17498291</v>
      </c>
    </row>
    <row r="389" spans="1:10" ht="14.1" customHeight="1" x14ac:dyDescent="0.15">
      <c r="A389" s="221"/>
      <c r="B389" s="221"/>
      <c r="C389" s="221"/>
      <c r="D389" s="210" t="s">
        <v>74</v>
      </c>
      <c r="E389" s="212">
        <v>118</v>
      </c>
      <c r="F389" s="212">
        <v>10742</v>
      </c>
      <c r="G389" s="212">
        <v>1267556</v>
      </c>
      <c r="H389" s="212">
        <v>702</v>
      </c>
      <c r="I389" s="212">
        <v>82836</v>
      </c>
      <c r="J389" s="212">
        <v>1184720</v>
      </c>
    </row>
    <row r="390" spans="1:10" ht="14.1" customHeight="1" x14ac:dyDescent="0.15">
      <c r="A390" s="221"/>
      <c r="B390" s="221"/>
      <c r="C390" s="221"/>
      <c r="D390" s="210" t="s">
        <v>71</v>
      </c>
      <c r="E390" s="212">
        <v>109</v>
      </c>
      <c r="F390" s="212">
        <v>7530</v>
      </c>
      <c r="G390" s="212">
        <v>820770</v>
      </c>
      <c r="H390" s="212">
        <v>702</v>
      </c>
      <c r="I390" s="212">
        <v>76518</v>
      </c>
      <c r="J390" s="212">
        <v>744252</v>
      </c>
    </row>
    <row r="391" spans="1:10" ht="14.1" customHeight="1" x14ac:dyDescent="0.15">
      <c r="A391" s="221"/>
      <c r="B391" s="221"/>
      <c r="C391" s="221"/>
      <c r="D391" s="210" t="s">
        <v>139</v>
      </c>
      <c r="E391" s="212">
        <v>17</v>
      </c>
      <c r="F391" s="212">
        <v>4799</v>
      </c>
      <c r="G391" s="212">
        <v>81583</v>
      </c>
      <c r="H391" s="212">
        <v>702</v>
      </c>
      <c r="I391" s="212">
        <v>11934</v>
      </c>
      <c r="J391" s="212">
        <v>69649</v>
      </c>
    </row>
    <row r="392" spans="1:10" ht="14.1" customHeight="1" x14ac:dyDescent="0.15">
      <c r="A392" s="221"/>
      <c r="B392" s="221"/>
      <c r="C392" s="221"/>
      <c r="D392" s="210" t="s">
        <v>140</v>
      </c>
      <c r="E392" s="212">
        <v>340</v>
      </c>
      <c r="F392" s="212">
        <v>5805</v>
      </c>
      <c r="G392" s="212">
        <v>1973700</v>
      </c>
      <c r="H392" s="212">
        <v>702</v>
      </c>
      <c r="I392" s="212">
        <v>238680</v>
      </c>
      <c r="J392" s="212">
        <v>1735020</v>
      </c>
    </row>
    <row r="393" spans="1:10" ht="14.1" customHeight="1" x14ac:dyDescent="0.15">
      <c r="A393" s="221"/>
      <c r="B393" s="220" t="s">
        <v>168</v>
      </c>
      <c r="C393" s="211" t="s">
        <v>67</v>
      </c>
      <c r="D393" s="210" t="s">
        <v>83</v>
      </c>
      <c r="E393" s="212">
        <v>1</v>
      </c>
      <c r="F393" s="212">
        <v>10040</v>
      </c>
      <c r="G393" s="212">
        <v>10040</v>
      </c>
      <c r="H393" s="212">
        <v>925</v>
      </c>
      <c r="I393" s="212">
        <v>925</v>
      </c>
      <c r="J393" s="212">
        <v>9115</v>
      </c>
    </row>
    <row r="394" spans="1:10" ht="29.1" customHeight="1" x14ac:dyDescent="0.15">
      <c r="A394" s="221"/>
      <c r="B394" s="221"/>
      <c r="C394" s="209" t="s">
        <v>159</v>
      </c>
      <c r="D394" s="210" t="s">
        <v>79</v>
      </c>
      <c r="E394" s="212">
        <v>1</v>
      </c>
      <c r="F394" s="212">
        <v>28332</v>
      </c>
      <c r="G394" s="212">
        <v>28332</v>
      </c>
      <c r="H394" s="212">
        <v>2346</v>
      </c>
      <c r="I394" s="212">
        <v>2346</v>
      </c>
      <c r="J394" s="212">
        <v>25986</v>
      </c>
    </row>
    <row r="395" spans="1:10" ht="29.1" customHeight="1" x14ac:dyDescent="0.15">
      <c r="A395" s="221"/>
      <c r="B395" s="221"/>
      <c r="C395" s="209" t="s">
        <v>160</v>
      </c>
      <c r="D395" s="210" t="s">
        <v>71</v>
      </c>
      <c r="E395" s="212">
        <v>16</v>
      </c>
      <c r="F395" s="212">
        <v>7655</v>
      </c>
      <c r="G395" s="212">
        <v>122475</v>
      </c>
      <c r="H395" s="212">
        <v>2292</v>
      </c>
      <c r="I395" s="212">
        <v>36672</v>
      </c>
      <c r="J395" s="212">
        <v>85803</v>
      </c>
    </row>
    <row r="396" spans="1:10" ht="29.1" customHeight="1" x14ac:dyDescent="0.15">
      <c r="A396" s="221"/>
      <c r="B396" s="221"/>
      <c r="C396" s="222" t="s">
        <v>161</v>
      </c>
      <c r="D396" s="210" t="s">
        <v>79</v>
      </c>
      <c r="E396" s="212">
        <v>3</v>
      </c>
      <c r="F396" s="212">
        <v>27613</v>
      </c>
      <c r="G396" s="212">
        <v>82839</v>
      </c>
      <c r="H396" s="212">
        <v>1627</v>
      </c>
      <c r="I396" s="212">
        <v>4881</v>
      </c>
      <c r="J396" s="212">
        <v>77958</v>
      </c>
    </row>
    <row r="397" spans="1:10" ht="14.1" customHeight="1" x14ac:dyDescent="0.15">
      <c r="A397" s="221"/>
      <c r="B397" s="221"/>
      <c r="C397" s="221"/>
      <c r="D397" s="210" t="s">
        <v>71</v>
      </c>
      <c r="E397" s="212">
        <v>1</v>
      </c>
      <c r="F397" s="212">
        <v>7530</v>
      </c>
      <c r="G397" s="212">
        <v>7530</v>
      </c>
      <c r="H397" s="212">
        <v>1627</v>
      </c>
      <c r="I397" s="212">
        <v>1627</v>
      </c>
      <c r="J397" s="212">
        <v>5903</v>
      </c>
    </row>
    <row r="398" spans="1:10" ht="14.1" customHeight="1" x14ac:dyDescent="0.15">
      <c r="A398" s="221" t="s">
        <v>99</v>
      </c>
      <c r="B398" s="221" t="s">
        <v>53</v>
      </c>
      <c r="C398" s="221"/>
      <c r="D398" s="221"/>
      <c r="E398" s="212">
        <v>567</v>
      </c>
      <c r="F398" s="212">
        <v>83682</v>
      </c>
      <c r="G398" s="212">
        <v>7607209</v>
      </c>
      <c r="H398" s="212"/>
      <c r="I398" s="212">
        <v>414907</v>
      </c>
      <c r="J398" s="212">
        <v>7192302</v>
      </c>
    </row>
    <row r="399" spans="1:10" ht="14.1" customHeight="1" x14ac:dyDescent="0.15">
      <c r="A399" s="221"/>
      <c r="B399" s="210" t="s">
        <v>63</v>
      </c>
      <c r="C399" s="210" t="s">
        <v>64</v>
      </c>
      <c r="D399" s="210" t="s">
        <v>65</v>
      </c>
      <c r="E399" s="218">
        <v>19</v>
      </c>
      <c r="F399" s="218">
        <v>10841</v>
      </c>
      <c r="G399" s="218">
        <v>205979</v>
      </c>
      <c r="H399" s="218">
        <v>1627</v>
      </c>
      <c r="I399" s="218">
        <v>30913</v>
      </c>
      <c r="J399" s="218">
        <v>175066</v>
      </c>
    </row>
    <row r="400" spans="1:10" ht="29.1" customHeight="1" x14ac:dyDescent="0.15">
      <c r="A400" s="221"/>
      <c r="B400" s="213" t="s">
        <v>66</v>
      </c>
      <c r="C400" s="209" t="s">
        <v>161</v>
      </c>
      <c r="D400" s="210" t="s">
        <v>133</v>
      </c>
      <c r="E400" s="219"/>
      <c r="F400" s="219"/>
      <c r="G400" s="219"/>
      <c r="H400" s="219"/>
      <c r="I400" s="219"/>
      <c r="J400" s="219"/>
    </row>
    <row r="401" spans="1:10" ht="42.95" customHeight="1" x14ac:dyDescent="0.15">
      <c r="A401" s="221"/>
      <c r="B401" s="222" t="s">
        <v>215</v>
      </c>
      <c r="C401" s="211" t="s">
        <v>67</v>
      </c>
      <c r="D401" s="210" t="s">
        <v>78</v>
      </c>
      <c r="E401" s="212">
        <v>1</v>
      </c>
      <c r="F401" s="212">
        <v>13127</v>
      </c>
      <c r="G401" s="212">
        <v>13127</v>
      </c>
      <c r="H401" s="212">
        <v>0</v>
      </c>
      <c r="I401" s="212">
        <v>0</v>
      </c>
      <c r="J401" s="212">
        <v>13127</v>
      </c>
    </row>
    <row r="402" spans="1:10" ht="29.1" customHeight="1" x14ac:dyDescent="0.15">
      <c r="A402" s="221"/>
      <c r="B402" s="221"/>
      <c r="C402" s="222" t="s">
        <v>161</v>
      </c>
      <c r="D402" s="210" t="s">
        <v>79</v>
      </c>
      <c r="E402" s="212">
        <v>10</v>
      </c>
      <c r="F402" s="212">
        <v>27613</v>
      </c>
      <c r="G402" s="212">
        <v>276130</v>
      </c>
      <c r="H402" s="212">
        <v>702</v>
      </c>
      <c r="I402" s="212">
        <v>7020</v>
      </c>
      <c r="J402" s="212">
        <v>269110</v>
      </c>
    </row>
    <row r="403" spans="1:10" ht="14.1" customHeight="1" x14ac:dyDescent="0.15">
      <c r="A403" s="221"/>
      <c r="B403" s="221"/>
      <c r="C403" s="221"/>
      <c r="D403" s="210" t="s">
        <v>73</v>
      </c>
      <c r="E403" s="212">
        <v>481</v>
      </c>
      <c r="F403" s="212">
        <v>13829</v>
      </c>
      <c r="G403" s="212">
        <v>6651749</v>
      </c>
      <c r="H403" s="212">
        <v>702</v>
      </c>
      <c r="I403" s="212">
        <v>337662</v>
      </c>
      <c r="J403" s="212">
        <v>6314087</v>
      </c>
    </row>
    <row r="404" spans="1:10" ht="14.1" customHeight="1" x14ac:dyDescent="0.15">
      <c r="A404" s="221"/>
      <c r="B404" s="221"/>
      <c r="C404" s="221"/>
      <c r="D404" s="210" t="s">
        <v>74</v>
      </c>
      <c r="E404" s="212">
        <v>12</v>
      </c>
      <c r="F404" s="212">
        <v>10742</v>
      </c>
      <c r="G404" s="212">
        <v>128904</v>
      </c>
      <c r="H404" s="212">
        <v>702</v>
      </c>
      <c r="I404" s="212">
        <v>8424</v>
      </c>
      <c r="J404" s="212">
        <v>120480</v>
      </c>
    </row>
    <row r="405" spans="1:10" ht="14.1" customHeight="1" x14ac:dyDescent="0.15">
      <c r="A405" s="221"/>
      <c r="B405" s="221"/>
      <c r="C405" s="221"/>
      <c r="D405" s="210" t="s">
        <v>71</v>
      </c>
      <c r="E405" s="212">
        <v>44</v>
      </c>
      <c r="F405" s="212">
        <v>7530</v>
      </c>
      <c r="G405" s="212">
        <v>331320</v>
      </c>
      <c r="H405" s="212">
        <v>702</v>
      </c>
      <c r="I405" s="212">
        <v>30888</v>
      </c>
      <c r="J405" s="212">
        <v>300432</v>
      </c>
    </row>
    <row r="406" spans="1:10" ht="14.1" customHeight="1" x14ac:dyDescent="0.15">
      <c r="A406" s="221" t="s">
        <v>3</v>
      </c>
      <c r="B406" s="221" t="s">
        <v>53</v>
      </c>
      <c r="C406" s="221"/>
      <c r="D406" s="221"/>
      <c r="E406" s="212">
        <v>1886</v>
      </c>
      <c r="F406" s="212">
        <v>386788</v>
      </c>
      <c r="G406" s="212">
        <v>26245434</v>
      </c>
      <c r="H406" s="212"/>
      <c r="I406" s="212">
        <v>2511403</v>
      </c>
      <c r="J406" s="212">
        <v>23734031</v>
      </c>
    </row>
    <row r="407" spans="1:10" ht="14.1" customHeight="1" x14ac:dyDescent="0.15">
      <c r="A407" s="221"/>
      <c r="B407" s="210" t="s">
        <v>63</v>
      </c>
      <c r="C407" s="210" t="s">
        <v>64</v>
      </c>
      <c r="D407" s="210" t="s">
        <v>65</v>
      </c>
      <c r="E407" s="218">
        <v>190</v>
      </c>
      <c r="F407" s="218">
        <v>10841</v>
      </c>
      <c r="G407" s="218">
        <v>2059790</v>
      </c>
      <c r="H407" s="218">
        <v>1627</v>
      </c>
      <c r="I407" s="218">
        <v>309130</v>
      </c>
      <c r="J407" s="218">
        <v>1750660</v>
      </c>
    </row>
    <row r="408" spans="1:10" ht="29.1" customHeight="1" x14ac:dyDescent="0.15">
      <c r="A408" s="221"/>
      <c r="B408" s="213" t="s">
        <v>66</v>
      </c>
      <c r="C408" s="209" t="s">
        <v>161</v>
      </c>
      <c r="D408" s="210" t="s">
        <v>133</v>
      </c>
      <c r="E408" s="219"/>
      <c r="F408" s="219"/>
      <c r="G408" s="219"/>
      <c r="H408" s="219"/>
      <c r="I408" s="219"/>
      <c r="J408" s="219"/>
    </row>
    <row r="409" spans="1:10" ht="42.95" customHeight="1" x14ac:dyDescent="0.15">
      <c r="A409" s="221"/>
      <c r="B409" s="222" t="s">
        <v>215</v>
      </c>
      <c r="C409" s="223" t="s">
        <v>67</v>
      </c>
      <c r="D409" s="210" t="s">
        <v>141</v>
      </c>
      <c r="E409" s="212">
        <v>1</v>
      </c>
      <c r="F409" s="212">
        <v>13127</v>
      </c>
      <c r="G409" s="212">
        <v>13127</v>
      </c>
      <c r="H409" s="212">
        <v>0</v>
      </c>
      <c r="I409" s="212">
        <v>0</v>
      </c>
      <c r="J409" s="212">
        <v>13127</v>
      </c>
    </row>
    <row r="410" spans="1:10" ht="14.1" customHeight="1" x14ac:dyDescent="0.15">
      <c r="A410" s="221"/>
      <c r="B410" s="221"/>
      <c r="C410" s="221"/>
      <c r="D410" s="210" t="s">
        <v>77</v>
      </c>
      <c r="E410" s="212">
        <v>1</v>
      </c>
      <c r="F410" s="212">
        <v>6828</v>
      </c>
      <c r="G410" s="212">
        <v>6828</v>
      </c>
      <c r="H410" s="212">
        <v>0</v>
      </c>
      <c r="I410" s="212">
        <v>0</v>
      </c>
      <c r="J410" s="212">
        <v>6828</v>
      </c>
    </row>
    <row r="411" spans="1:10" ht="29.1" customHeight="1" x14ac:dyDescent="0.15">
      <c r="A411" s="221"/>
      <c r="B411" s="221"/>
      <c r="C411" s="222" t="s">
        <v>159</v>
      </c>
      <c r="D411" s="210" t="s">
        <v>79</v>
      </c>
      <c r="E411" s="212">
        <v>2</v>
      </c>
      <c r="F411" s="212">
        <v>28332</v>
      </c>
      <c r="G411" s="212">
        <v>56664</v>
      </c>
      <c r="H411" s="212">
        <v>1421</v>
      </c>
      <c r="I411" s="212">
        <v>2842</v>
      </c>
      <c r="J411" s="212">
        <v>53822</v>
      </c>
    </row>
    <row r="412" spans="1:10" ht="14.1" customHeight="1" x14ac:dyDescent="0.15">
      <c r="A412" s="221"/>
      <c r="B412" s="221"/>
      <c r="C412" s="221"/>
      <c r="D412" s="210" t="s">
        <v>139</v>
      </c>
      <c r="E412" s="212">
        <v>3</v>
      </c>
      <c r="F412" s="212">
        <v>5518</v>
      </c>
      <c r="G412" s="212">
        <v>16554</v>
      </c>
      <c r="H412" s="212">
        <v>1421</v>
      </c>
      <c r="I412" s="212">
        <v>4263</v>
      </c>
      <c r="J412" s="212">
        <v>12291</v>
      </c>
    </row>
    <row r="413" spans="1:10" ht="29.1" customHeight="1" x14ac:dyDescent="0.15">
      <c r="A413" s="221"/>
      <c r="B413" s="221"/>
      <c r="C413" s="222" t="s">
        <v>161</v>
      </c>
      <c r="D413" s="210" t="s">
        <v>101</v>
      </c>
      <c r="E413" s="212">
        <v>12</v>
      </c>
      <c r="F413" s="212">
        <v>45688</v>
      </c>
      <c r="G413" s="212">
        <v>548256</v>
      </c>
      <c r="H413" s="212">
        <v>702</v>
      </c>
      <c r="I413" s="212">
        <v>8424</v>
      </c>
      <c r="J413" s="212">
        <v>539832</v>
      </c>
    </row>
    <row r="414" spans="1:10" ht="14.1" customHeight="1" x14ac:dyDescent="0.15">
      <c r="A414" s="221"/>
      <c r="B414" s="221"/>
      <c r="C414" s="221"/>
      <c r="D414" s="210" t="s">
        <v>79</v>
      </c>
      <c r="E414" s="212">
        <v>171</v>
      </c>
      <c r="F414" s="212">
        <v>27613</v>
      </c>
      <c r="G414" s="212">
        <v>4721823</v>
      </c>
      <c r="H414" s="212">
        <v>702</v>
      </c>
      <c r="I414" s="212">
        <v>120042</v>
      </c>
      <c r="J414" s="212">
        <v>4601781</v>
      </c>
    </row>
    <row r="415" spans="1:10" ht="14.1" customHeight="1" x14ac:dyDescent="0.15">
      <c r="A415" s="221"/>
      <c r="B415" s="221"/>
      <c r="C415" s="221"/>
      <c r="D415" s="210" t="s">
        <v>73</v>
      </c>
      <c r="E415" s="212">
        <v>256</v>
      </c>
      <c r="F415" s="212">
        <v>13829</v>
      </c>
      <c r="G415" s="212">
        <v>3540224</v>
      </c>
      <c r="H415" s="212">
        <v>702</v>
      </c>
      <c r="I415" s="212">
        <v>179712</v>
      </c>
      <c r="J415" s="212">
        <v>3360512</v>
      </c>
    </row>
    <row r="416" spans="1:10" ht="14.1" customHeight="1" x14ac:dyDescent="0.15">
      <c r="A416" s="221"/>
      <c r="B416" s="221"/>
      <c r="C416" s="221"/>
      <c r="D416" s="210" t="s">
        <v>74</v>
      </c>
      <c r="E416" s="212">
        <v>38</v>
      </c>
      <c r="F416" s="212">
        <v>10742</v>
      </c>
      <c r="G416" s="212">
        <v>408196</v>
      </c>
      <c r="H416" s="212">
        <v>702</v>
      </c>
      <c r="I416" s="212">
        <v>26676</v>
      </c>
      <c r="J416" s="212">
        <v>381520</v>
      </c>
    </row>
    <row r="417" spans="1:10" ht="14.1" customHeight="1" x14ac:dyDescent="0.15">
      <c r="A417" s="221"/>
      <c r="B417" s="221"/>
      <c r="C417" s="221"/>
      <c r="D417" s="210" t="s">
        <v>71</v>
      </c>
      <c r="E417" s="212">
        <v>45</v>
      </c>
      <c r="F417" s="212">
        <v>7530</v>
      </c>
      <c r="G417" s="212">
        <v>338850</v>
      </c>
      <c r="H417" s="212">
        <v>702</v>
      </c>
      <c r="I417" s="212">
        <v>31590</v>
      </c>
      <c r="J417" s="212">
        <v>307260</v>
      </c>
    </row>
    <row r="418" spans="1:10" ht="14.1" customHeight="1" x14ac:dyDescent="0.15">
      <c r="A418" s="221"/>
      <c r="B418" s="221"/>
      <c r="C418" s="221"/>
      <c r="D418" s="210" t="s">
        <v>82</v>
      </c>
      <c r="E418" s="212">
        <v>5</v>
      </c>
      <c r="F418" s="212">
        <v>3112</v>
      </c>
      <c r="G418" s="212">
        <v>15560</v>
      </c>
      <c r="H418" s="212">
        <v>702</v>
      </c>
      <c r="I418" s="212">
        <v>3510</v>
      </c>
      <c r="J418" s="212">
        <v>12050</v>
      </c>
    </row>
    <row r="419" spans="1:10" ht="14.1" customHeight="1" x14ac:dyDescent="0.15">
      <c r="A419" s="221"/>
      <c r="B419" s="221"/>
      <c r="C419" s="221"/>
      <c r="D419" s="210" t="s">
        <v>139</v>
      </c>
      <c r="E419" s="212">
        <v>54</v>
      </c>
      <c r="F419" s="212">
        <v>4799</v>
      </c>
      <c r="G419" s="212">
        <v>259146</v>
      </c>
      <c r="H419" s="212">
        <v>702</v>
      </c>
      <c r="I419" s="212">
        <v>37908</v>
      </c>
      <c r="J419" s="212">
        <v>221238</v>
      </c>
    </row>
    <row r="420" spans="1:10" ht="14.1" customHeight="1" x14ac:dyDescent="0.15">
      <c r="A420" s="221"/>
      <c r="B420" s="220" t="s">
        <v>168</v>
      </c>
      <c r="C420" s="223" t="s">
        <v>67</v>
      </c>
      <c r="D420" s="210" t="s">
        <v>145</v>
      </c>
      <c r="E420" s="212">
        <v>5</v>
      </c>
      <c r="F420" s="212">
        <v>26911</v>
      </c>
      <c r="G420" s="212">
        <v>134555</v>
      </c>
      <c r="H420" s="212">
        <v>925</v>
      </c>
      <c r="I420" s="212">
        <v>4625</v>
      </c>
      <c r="J420" s="212">
        <v>129930</v>
      </c>
    </row>
    <row r="421" spans="1:10" ht="14.1" customHeight="1" x14ac:dyDescent="0.15">
      <c r="A421" s="221"/>
      <c r="B421" s="221"/>
      <c r="C421" s="221"/>
      <c r="D421" s="210" t="s">
        <v>141</v>
      </c>
      <c r="E421" s="212">
        <v>2</v>
      </c>
      <c r="F421" s="212">
        <v>13127</v>
      </c>
      <c r="G421" s="212">
        <v>26254</v>
      </c>
      <c r="H421" s="212">
        <v>925</v>
      </c>
      <c r="I421" s="212">
        <v>1850</v>
      </c>
      <c r="J421" s="212">
        <v>24404</v>
      </c>
    </row>
    <row r="422" spans="1:10" ht="14.1" customHeight="1" x14ac:dyDescent="0.15">
      <c r="A422" s="221"/>
      <c r="B422" s="221"/>
      <c r="C422" s="221"/>
      <c r="D422" s="210" t="s">
        <v>146</v>
      </c>
      <c r="E422" s="212">
        <v>2</v>
      </c>
      <c r="F422" s="212">
        <v>10040</v>
      </c>
      <c r="G422" s="212">
        <v>20080</v>
      </c>
      <c r="H422" s="212">
        <v>925</v>
      </c>
      <c r="I422" s="212">
        <v>1850</v>
      </c>
      <c r="J422" s="212">
        <v>18230</v>
      </c>
    </row>
    <row r="423" spans="1:10" ht="14.1" customHeight="1" x14ac:dyDescent="0.15">
      <c r="A423" s="221"/>
      <c r="B423" s="221"/>
      <c r="C423" s="221"/>
      <c r="D423" s="210" t="s">
        <v>136</v>
      </c>
      <c r="E423" s="212">
        <v>14</v>
      </c>
      <c r="F423" s="212">
        <v>6828</v>
      </c>
      <c r="G423" s="212">
        <v>95592</v>
      </c>
      <c r="H423" s="212">
        <v>925</v>
      </c>
      <c r="I423" s="212">
        <v>12950</v>
      </c>
      <c r="J423" s="212">
        <v>82642</v>
      </c>
    </row>
    <row r="424" spans="1:10" ht="14.1" customHeight="1" x14ac:dyDescent="0.15">
      <c r="A424" s="221"/>
      <c r="B424" s="221"/>
      <c r="C424" s="221"/>
      <c r="D424" s="210" t="s">
        <v>77</v>
      </c>
      <c r="E424" s="212">
        <v>1</v>
      </c>
      <c r="F424" s="212">
        <v>6828</v>
      </c>
      <c r="G424" s="212">
        <v>6828</v>
      </c>
      <c r="H424" s="212">
        <v>925</v>
      </c>
      <c r="I424" s="212">
        <v>925</v>
      </c>
      <c r="J424" s="212">
        <v>5903</v>
      </c>
    </row>
    <row r="425" spans="1:10" ht="29.1" customHeight="1" x14ac:dyDescent="0.15">
      <c r="A425" s="221"/>
      <c r="B425" s="221"/>
      <c r="C425" s="222" t="s">
        <v>159</v>
      </c>
      <c r="D425" s="210" t="s">
        <v>79</v>
      </c>
      <c r="E425" s="212">
        <v>1</v>
      </c>
      <c r="F425" s="212">
        <v>28332</v>
      </c>
      <c r="G425" s="212">
        <v>28332</v>
      </c>
      <c r="H425" s="212">
        <v>2346</v>
      </c>
      <c r="I425" s="212">
        <v>2346</v>
      </c>
      <c r="J425" s="212">
        <v>25986</v>
      </c>
    </row>
    <row r="426" spans="1:10" ht="14.1" customHeight="1" x14ac:dyDescent="0.15">
      <c r="A426" s="221"/>
      <c r="B426" s="221"/>
      <c r="C426" s="221"/>
      <c r="D426" s="210" t="s">
        <v>71</v>
      </c>
      <c r="E426" s="212">
        <v>1</v>
      </c>
      <c r="F426" s="212">
        <v>8249</v>
      </c>
      <c r="G426" s="212">
        <v>8249</v>
      </c>
      <c r="H426" s="212">
        <v>2346</v>
      </c>
      <c r="I426" s="212">
        <v>2346</v>
      </c>
      <c r="J426" s="212">
        <v>5903</v>
      </c>
    </row>
    <row r="427" spans="1:10" ht="29.1" customHeight="1" x14ac:dyDescent="0.15">
      <c r="A427" s="221"/>
      <c r="B427" s="221"/>
      <c r="C427" s="222" t="s">
        <v>161</v>
      </c>
      <c r="D427" s="210" t="s">
        <v>101</v>
      </c>
      <c r="E427" s="212">
        <v>10</v>
      </c>
      <c r="F427" s="212">
        <v>45688</v>
      </c>
      <c r="G427" s="212">
        <v>456880</v>
      </c>
      <c r="H427" s="212">
        <v>1627</v>
      </c>
      <c r="I427" s="212">
        <v>16270</v>
      </c>
      <c r="J427" s="212">
        <v>440610</v>
      </c>
    </row>
    <row r="428" spans="1:10" ht="14.1" customHeight="1" x14ac:dyDescent="0.15">
      <c r="A428" s="221"/>
      <c r="B428" s="221"/>
      <c r="C428" s="221"/>
      <c r="D428" s="210" t="s">
        <v>79</v>
      </c>
      <c r="E428" s="212">
        <v>178</v>
      </c>
      <c r="F428" s="212">
        <v>27613</v>
      </c>
      <c r="G428" s="212">
        <v>4915114</v>
      </c>
      <c r="H428" s="212">
        <v>1627</v>
      </c>
      <c r="I428" s="212">
        <v>289606</v>
      </c>
      <c r="J428" s="212">
        <v>4625508</v>
      </c>
    </row>
    <row r="429" spans="1:10" ht="14.1" customHeight="1" x14ac:dyDescent="0.15">
      <c r="A429" s="221"/>
      <c r="B429" s="221"/>
      <c r="C429" s="221"/>
      <c r="D429" s="210" t="s">
        <v>73</v>
      </c>
      <c r="E429" s="212">
        <v>120</v>
      </c>
      <c r="F429" s="212">
        <v>13829</v>
      </c>
      <c r="G429" s="212">
        <v>1659480</v>
      </c>
      <c r="H429" s="212">
        <v>1627</v>
      </c>
      <c r="I429" s="212">
        <v>195240</v>
      </c>
      <c r="J429" s="212">
        <v>1464240</v>
      </c>
    </row>
    <row r="430" spans="1:10" ht="14.1" customHeight="1" x14ac:dyDescent="0.15">
      <c r="A430" s="221"/>
      <c r="B430" s="221"/>
      <c r="C430" s="221"/>
      <c r="D430" s="210" t="s">
        <v>74</v>
      </c>
      <c r="E430" s="212">
        <v>342</v>
      </c>
      <c r="F430" s="212">
        <v>10742</v>
      </c>
      <c r="G430" s="212">
        <v>3673764</v>
      </c>
      <c r="H430" s="212">
        <v>1627</v>
      </c>
      <c r="I430" s="212">
        <v>556434</v>
      </c>
      <c r="J430" s="212">
        <v>3117330</v>
      </c>
    </row>
    <row r="431" spans="1:10" ht="14.1" customHeight="1" x14ac:dyDescent="0.15">
      <c r="A431" s="221"/>
      <c r="B431" s="221"/>
      <c r="C431" s="221"/>
      <c r="D431" s="210" t="s">
        <v>71</v>
      </c>
      <c r="E431" s="212">
        <v>428</v>
      </c>
      <c r="F431" s="212">
        <v>7530</v>
      </c>
      <c r="G431" s="212">
        <v>3222840</v>
      </c>
      <c r="H431" s="212">
        <v>1627</v>
      </c>
      <c r="I431" s="212">
        <v>696356</v>
      </c>
      <c r="J431" s="212">
        <v>2526484</v>
      </c>
    </row>
    <row r="432" spans="1:10" ht="14.1" customHeight="1" x14ac:dyDescent="0.15">
      <c r="A432" s="221"/>
      <c r="B432" s="221"/>
      <c r="C432" s="221"/>
      <c r="D432" s="210" t="s">
        <v>82</v>
      </c>
      <c r="E432" s="212">
        <v>4</v>
      </c>
      <c r="F432" s="212">
        <v>3112</v>
      </c>
      <c r="G432" s="212">
        <v>12448</v>
      </c>
      <c r="H432" s="212">
        <v>1627</v>
      </c>
      <c r="I432" s="212">
        <v>6508</v>
      </c>
      <c r="J432" s="212">
        <v>5940</v>
      </c>
    </row>
    <row r="433" spans="1:10" ht="29.1" customHeight="1" x14ac:dyDescent="0.15">
      <c r="A433" s="222" t="s">
        <v>114</v>
      </c>
      <c r="B433" s="221" t="s">
        <v>53</v>
      </c>
      <c r="C433" s="221"/>
      <c r="D433" s="221"/>
      <c r="E433" s="212">
        <v>66370</v>
      </c>
      <c r="F433" s="212">
        <v>1381958</v>
      </c>
      <c r="G433" s="212">
        <v>798349265</v>
      </c>
      <c r="H433" s="212"/>
      <c r="I433" s="212">
        <v>85144705</v>
      </c>
      <c r="J433" s="212">
        <v>713204560</v>
      </c>
    </row>
    <row r="434" spans="1:10" ht="14.1" customHeight="1" x14ac:dyDescent="0.15">
      <c r="A434" s="221"/>
      <c r="B434" s="210" t="s">
        <v>63</v>
      </c>
      <c r="C434" s="210" t="s">
        <v>64</v>
      </c>
      <c r="D434" s="210" t="s">
        <v>65</v>
      </c>
      <c r="E434" s="218">
        <v>36</v>
      </c>
      <c r="F434" s="218">
        <v>10139</v>
      </c>
      <c r="G434" s="218">
        <v>365004</v>
      </c>
      <c r="H434" s="218">
        <v>0</v>
      </c>
      <c r="I434" s="218">
        <v>0</v>
      </c>
      <c r="J434" s="218">
        <v>365004</v>
      </c>
    </row>
    <row r="435" spans="1:10" ht="14.1" customHeight="1" x14ac:dyDescent="0.15">
      <c r="A435" s="221"/>
      <c r="B435" s="220" t="s">
        <v>66</v>
      </c>
      <c r="C435" s="223" t="s">
        <v>67</v>
      </c>
      <c r="D435" s="210" t="s">
        <v>134</v>
      </c>
      <c r="E435" s="219"/>
      <c r="F435" s="219"/>
      <c r="G435" s="219"/>
      <c r="H435" s="219"/>
      <c r="I435" s="219"/>
      <c r="J435" s="219"/>
    </row>
    <row r="436" spans="1:10" ht="14.1" customHeight="1" x14ac:dyDescent="0.15">
      <c r="A436" s="221"/>
      <c r="B436" s="221"/>
      <c r="C436" s="221"/>
      <c r="D436" s="210" t="s">
        <v>132</v>
      </c>
      <c r="E436" s="212">
        <v>151</v>
      </c>
      <c r="F436" s="212">
        <v>10139</v>
      </c>
      <c r="G436" s="212">
        <v>1530989</v>
      </c>
      <c r="H436" s="212">
        <v>0</v>
      </c>
      <c r="I436" s="212">
        <v>0</v>
      </c>
      <c r="J436" s="212">
        <v>1530989</v>
      </c>
    </row>
    <row r="437" spans="1:10" ht="29.1" customHeight="1" x14ac:dyDescent="0.15">
      <c r="A437" s="221"/>
      <c r="B437" s="221"/>
      <c r="C437" s="209" t="s">
        <v>159</v>
      </c>
      <c r="D437" s="210" t="s">
        <v>133</v>
      </c>
      <c r="E437" s="212">
        <v>14</v>
      </c>
      <c r="F437" s="212">
        <v>11560</v>
      </c>
      <c r="G437" s="212">
        <v>161840</v>
      </c>
      <c r="H437" s="212">
        <v>2346</v>
      </c>
      <c r="I437" s="212">
        <v>32844</v>
      </c>
      <c r="J437" s="212">
        <v>128996</v>
      </c>
    </row>
    <row r="438" spans="1:10" ht="29.1" customHeight="1" x14ac:dyDescent="0.15">
      <c r="A438" s="221"/>
      <c r="B438" s="221"/>
      <c r="C438" s="209" t="s">
        <v>160</v>
      </c>
      <c r="D438" s="210" t="s">
        <v>133</v>
      </c>
      <c r="E438" s="212">
        <v>14</v>
      </c>
      <c r="F438" s="212">
        <v>11506</v>
      </c>
      <c r="G438" s="212">
        <v>161084</v>
      </c>
      <c r="H438" s="212">
        <v>2292</v>
      </c>
      <c r="I438" s="212">
        <v>32088</v>
      </c>
      <c r="J438" s="212">
        <v>128996</v>
      </c>
    </row>
    <row r="439" spans="1:10" ht="29.1" customHeight="1" x14ac:dyDescent="0.15">
      <c r="A439" s="221"/>
      <c r="B439" s="221"/>
      <c r="C439" s="209" t="s">
        <v>161</v>
      </c>
      <c r="D439" s="210" t="s">
        <v>133</v>
      </c>
      <c r="E439" s="212">
        <v>5388</v>
      </c>
      <c r="F439" s="212">
        <v>10841</v>
      </c>
      <c r="G439" s="212">
        <v>58411308</v>
      </c>
      <c r="H439" s="212">
        <v>1627</v>
      </c>
      <c r="I439" s="212">
        <v>8766276</v>
      </c>
      <c r="J439" s="212">
        <v>49645032</v>
      </c>
    </row>
    <row r="440" spans="1:10" ht="14.1" customHeight="1" x14ac:dyDescent="0.15">
      <c r="A440" s="221"/>
      <c r="B440" s="220" t="s">
        <v>76</v>
      </c>
      <c r="C440" s="223" t="s">
        <v>67</v>
      </c>
      <c r="D440" s="210" t="s">
        <v>136</v>
      </c>
      <c r="E440" s="212">
        <v>8</v>
      </c>
      <c r="F440" s="212">
        <v>6828</v>
      </c>
      <c r="G440" s="212">
        <v>54624</v>
      </c>
      <c r="H440" s="212">
        <v>0</v>
      </c>
      <c r="I440" s="212">
        <v>0</v>
      </c>
      <c r="J440" s="212">
        <v>54624</v>
      </c>
    </row>
    <row r="441" spans="1:10" ht="14.1" customHeight="1" x14ac:dyDescent="0.15">
      <c r="A441" s="221"/>
      <c r="B441" s="221"/>
      <c r="C441" s="221"/>
      <c r="D441" s="210" t="s">
        <v>135</v>
      </c>
      <c r="E441" s="212">
        <v>2</v>
      </c>
      <c r="F441" s="212">
        <v>6949</v>
      </c>
      <c r="G441" s="212">
        <v>13898</v>
      </c>
      <c r="H441" s="212">
        <v>0</v>
      </c>
      <c r="I441" s="212">
        <v>0</v>
      </c>
      <c r="J441" s="212">
        <v>13898</v>
      </c>
    </row>
    <row r="442" spans="1:10" ht="29.1" customHeight="1" x14ac:dyDescent="0.15">
      <c r="A442" s="221"/>
      <c r="B442" s="221"/>
      <c r="C442" s="222" t="s">
        <v>159</v>
      </c>
      <c r="D442" s="210" t="s">
        <v>71</v>
      </c>
      <c r="E442" s="212">
        <v>2</v>
      </c>
      <c r="F442" s="212">
        <v>8249</v>
      </c>
      <c r="G442" s="212">
        <v>16498</v>
      </c>
      <c r="H442" s="212">
        <v>1421</v>
      </c>
      <c r="I442" s="212">
        <v>2842</v>
      </c>
      <c r="J442" s="212">
        <v>13656</v>
      </c>
    </row>
    <row r="443" spans="1:10" ht="14.1" customHeight="1" x14ac:dyDescent="0.15">
      <c r="A443" s="221"/>
      <c r="B443" s="221"/>
      <c r="C443" s="221"/>
      <c r="D443" s="210" t="s">
        <v>91</v>
      </c>
      <c r="E443" s="212">
        <v>2</v>
      </c>
      <c r="F443" s="212">
        <v>8370</v>
      </c>
      <c r="G443" s="212">
        <v>16740</v>
      </c>
      <c r="H443" s="212">
        <v>1421</v>
      </c>
      <c r="I443" s="212">
        <v>2842</v>
      </c>
      <c r="J443" s="212">
        <v>13898</v>
      </c>
    </row>
    <row r="444" spans="1:10" ht="29.1" customHeight="1" x14ac:dyDescent="0.15">
      <c r="A444" s="221"/>
      <c r="B444" s="221"/>
      <c r="C444" s="222" t="s">
        <v>161</v>
      </c>
      <c r="D444" s="210" t="s">
        <v>87</v>
      </c>
      <c r="E444" s="212">
        <v>3</v>
      </c>
      <c r="F444" s="212">
        <v>13362</v>
      </c>
      <c r="G444" s="212">
        <v>40086</v>
      </c>
      <c r="H444" s="212">
        <v>6286</v>
      </c>
      <c r="I444" s="212">
        <v>18858</v>
      </c>
      <c r="J444" s="212">
        <v>21228</v>
      </c>
    </row>
    <row r="445" spans="1:10" ht="14.1" customHeight="1" x14ac:dyDescent="0.15">
      <c r="A445" s="221"/>
      <c r="B445" s="221"/>
      <c r="C445" s="221"/>
      <c r="D445" s="210" t="s">
        <v>71</v>
      </c>
      <c r="E445" s="212">
        <v>6833</v>
      </c>
      <c r="F445" s="212">
        <v>7531</v>
      </c>
      <c r="G445" s="212">
        <v>51456804</v>
      </c>
      <c r="H445" s="212">
        <v>702</v>
      </c>
      <c r="I445" s="212">
        <v>4799591</v>
      </c>
      <c r="J445" s="212">
        <v>46657213</v>
      </c>
    </row>
    <row r="446" spans="1:10" ht="14.1" customHeight="1" x14ac:dyDescent="0.15">
      <c r="A446" s="221"/>
      <c r="B446" s="221"/>
      <c r="C446" s="221"/>
      <c r="D446" s="210" t="s">
        <v>91</v>
      </c>
      <c r="E446" s="212">
        <v>1588</v>
      </c>
      <c r="F446" s="212">
        <v>7726</v>
      </c>
      <c r="G446" s="212">
        <v>12268423</v>
      </c>
      <c r="H446" s="212">
        <v>764</v>
      </c>
      <c r="I446" s="212">
        <v>1212439</v>
      </c>
      <c r="J446" s="212">
        <v>11055984</v>
      </c>
    </row>
    <row r="447" spans="1:10" ht="14.1" customHeight="1" x14ac:dyDescent="0.15">
      <c r="A447" s="221"/>
      <c r="B447" s="220" t="s">
        <v>162</v>
      </c>
      <c r="C447" s="223" t="s">
        <v>108</v>
      </c>
      <c r="D447" s="210" t="s">
        <v>163</v>
      </c>
      <c r="E447" s="212">
        <v>251</v>
      </c>
      <c r="F447" s="212">
        <v>23712</v>
      </c>
      <c r="G447" s="212">
        <v>5951712</v>
      </c>
      <c r="H447" s="212">
        <v>3932</v>
      </c>
      <c r="I447" s="212">
        <v>986932</v>
      </c>
      <c r="J447" s="212">
        <v>4964780</v>
      </c>
    </row>
    <row r="448" spans="1:10" ht="14.1" customHeight="1" x14ac:dyDescent="0.15">
      <c r="A448" s="221"/>
      <c r="B448" s="221"/>
      <c r="C448" s="221"/>
      <c r="D448" s="210" t="s">
        <v>165</v>
      </c>
      <c r="E448" s="212">
        <v>1355</v>
      </c>
      <c r="F448" s="212">
        <v>20422</v>
      </c>
      <c r="G448" s="212">
        <v>27671810</v>
      </c>
      <c r="H448" s="212">
        <v>3932</v>
      </c>
      <c r="I448" s="212">
        <v>5327860</v>
      </c>
      <c r="J448" s="212">
        <v>22343950</v>
      </c>
    </row>
    <row r="449" spans="1:10" ht="42.95" customHeight="1" x14ac:dyDescent="0.15">
      <c r="A449" s="221"/>
      <c r="B449" s="222" t="s">
        <v>215</v>
      </c>
      <c r="C449" s="223" t="s">
        <v>67</v>
      </c>
      <c r="D449" s="210" t="s">
        <v>145</v>
      </c>
      <c r="E449" s="212">
        <v>8</v>
      </c>
      <c r="F449" s="212">
        <v>26911</v>
      </c>
      <c r="G449" s="212">
        <v>215288</v>
      </c>
      <c r="H449" s="212">
        <v>0</v>
      </c>
      <c r="I449" s="212">
        <v>0</v>
      </c>
      <c r="J449" s="212">
        <v>215288</v>
      </c>
    </row>
    <row r="450" spans="1:10" ht="14.1" customHeight="1" x14ac:dyDescent="0.15">
      <c r="A450" s="221"/>
      <c r="B450" s="221"/>
      <c r="C450" s="221"/>
      <c r="D450" s="210" t="s">
        <v>141</v>
      </c>
      <c r="E450" s="212">
        <v>14</v>
      </c>
      <c r="F450" s="212">
        <v>13127</v>
      </c>
      <c r="G450" s="212">
        <v>183778</v>
      </c>
      <c r="H450" s="212">
        <v>0</v>
      </c>
      <c r="I450" s="212">
        <v>0</v>
      </c>
      <c r="J450" s="212">
        <v>183778</v>
      </c>
    </row>
    <row r="451" spans="1:10" ht="14.1" customHeight="1" x14ac:dyDescent="0.15">
      <c r="A451" s="221"/>
      <c r="B451" s="221"/>
      <c r="C451" s="221"/>
      <c r="D451" s="210" t="s">
        <v>146</v>
      </c>
      <c r="E451" s="212">
        <v>6</v>
      </c>
      <c r="F451" s="212">
        <v>10040</v>
      </c>
      <c r="G451" s="212">
        <v>60240</v>
      </c>
      <c r="H451" s="212">
        <v>0</v>
      </c>
      <c r="I451" s="212">
        <v>0</v>
      </c>
      <c r="J451" s="212">
        <v>60240</v>
      </c>
    </row>
    <row r="452" spans="1:10" ht="14.1" customHeight="1" x14ac:dyDescent="0.15">
      <c r="A452" s="221"/>
      <c r="B452" s="221"/>
      <c r="C452" s="221"/>
      <c r="D452" s="210" t="s">
        <v>136</v>
      </c>
      <c r="E452" s="212">
        <v>5</v>
      </c>
      <c r="F452" s="212">
        <v>6828</v>
      </c>
      <c r="G452" s="212">
        <v>34140</v>
      </c>
      <c r="H452" s="212">
        <v>0</v>
      </c>
      <c r="I452" s="212">
        <v>0</v>
      </c>
      <c r="J452" s="212">
        <v>34140</v>
      </c>
    </row>
    <row r="453" spans="1:10" ht="14.1" customHeight="1" x14ac:dyDescent="0.15">
      <c r="A453" s="221"/>
      <c r="B453" s="221"/>
      <c r="C453" s="221"/>
      <c r="D453" s="210" t="s">
        <v>77</v>
      </c>
      <c r="E453" s="212">
        <v>15</v>
      </c>
      <c r="F453" s="212">
        <v>6828</v>
      </c>
      <c r="G453" s="212">
        <v>102420</v>
      </c>
      <c r="H453" s="212">
        <v>0</v>
      </c>
      <c r="I453" s="212">
        <v>0</v>
      </c>
      <c r="J453" s="212">
        <v>102420</v>
      </c>
    </row>
    <row r="454" spans="1:10" ht="14.1" customHeight="1" x14ac:dyDescent="0.15">
      <c r="A454" s="221"/>
      <c r="B454" s="221"/>
      <c r="C454" s="221"/>
      <c r="D454" s="210" t="s">
        <v>149</v>
      </c>
      <c r="E454" s="212">
        <v>2</v>
      </c>
      <c r="F454" s="212">
        <v>4251</v>
      </c>
      <c r="G454" s="212">
        <v>8502</v>
      </c>
      <c r="H454" s="212">
        <v>0</v>
      </c>
      <c r="I454" s="212">
        <v>0</v>
      </c>
      <c r="J454" s="212">
        <v>8502</v>
      </c>
    </row>
    <row r="455" spans="1:10" ht="14.1" customHeight="1" x14ac:dyDescent="0.15">
      <c r="A455" s="221"/>
      <c r="B455" s="221"/>
      <c r="C455" s="221"/>
      <c r="D455" s="210" t="s">
        <v>84</v>
      </c>
      <c r="E455" s="212">
        <v>1</v>
      </c>
      <c r="F455" s="212">
        <v>2410</v>
      </c>
      <c r="G455" s="212">
        <v>2410</v>
      </c>
      <c r="H455" s="212">
        <v>0</v>
      </c>
      <c r="I455" s="212">
        <v>0</v>
      </c>
      <c r="J455" s="212">
        <v>2410</v>
      </c>
    </row>
    <row r="456" spans="1:10" ht="14.1" customHeight="1" x14ac:dyDescent="0.15">
      <c r="A456" s="221"/>
      <c r="B456" s="221"/>
      <c r="C456" s="221"/>
      <c r="D456" s="210" t="s">
        <v>68</v>
      </c>
      <c r="E456" s="212">
        <v>1</v>
      </c>
      <c r="F456" s="212">
        <v>24193</v>
      </c>
      <c r="G456" s="212">
        <v>24193</v>
      </c>
      <c r="H456" s="212">
        <v>0</v>
      </c>
      <c r="I456" s="212">
        <v>0</v>
      </c>
      <c r="J456" s="212">
        <v>24193</v>
      </c>
    </row>
    <row r="457" spans="1:10" ht="14.1" customHeight="1" x14ac:dyDescent="0.15">
      <c r="A457" s="221"/>
      <c r="B457" s="221"/>
      <c r="C457" s="221"/>
      <c r="D457" s="210" t="s">
        <v>142</v>
      </c>
      <c r="E457" s="212">
        <v>2</v>
      </c>
      <c r="F457" s="212">
        <v>4097</v>
      </c>
      <c r="G457" s="212">
        <v>8194</v>
      </c>
      <c r="H457" s="212">
        <v>0</v>
      </c>
      <c r="I457" s="212">
        <v>0</v>
      </c>
      <c r="J457" s="212">
        <v>8194</v>
      </c>
    </row>
    <row r="458" spans="1:10" ht="14.1" customHeight="1" x14ac:dyDescent="0.15">
      <c r="A458" s="221"/>
      <c r="B458" s="221"/>
      <c r="C458" s="221"/>
      <c r="D458" s="210" t="s">
        <v>143</v>
      </c>
      <c r="E458" s="212">
        <v>86</v>
      </c>
      <c r="F458" s="212">
        <v>5103</v>
      </c>
      <c r="G458" s="212">
        <v>438858</v>
      </c>
      <c r="H458" s="212">
        <v>0</v>
      </c>
      <c r="I458" s="212">
        <v>0</v>
      </c>
      <c r="J458" s="212">
        <v>438858</v>
      </c>
    </row>
    <row r="459" spans="1:10" ht="14.1" customHeight="1" x14ac:dyDescent="0.15">
      <c r="A459" s="221"/>
      <c r="B459" s="221"/>
      <c r="C459" s="221"/>
      <c r="D459" s="210" t="s">
        <v>138</v>
      </c>
      <c r="E459" s="212">
        <v>324</v>
      </c>
      <c r="F459" s="212">
        <v>5103</v>
      </c>
      <c r="G459" s="212">
        <v>1653372</v>
      </c>
      <c r="H459" s="212">
        <v>0</v>
      </c>
      <c r="I459" s="212">
        <v>0</v>
      </c>
      <c r="J459" s="212">
        <v>1653372</v>
      </c>
    </row>
    <row r="460" spans="1:10" ht="29.1" customHeight="1" x14ac:dyDescent="0.15">
      <c r="A460" s="221"/>
      <c r="B460" s="221"/>
      <c r="C460" s="222" t="s">
        <v>159</v>
      </c>
      <c r="D460" s="210" t="s">
        <v>70</v>
      </c>
      <c r="E460" s="212">
        <v>30</v>
      </c>
      <c r="F460" s="212">
        <v>3986</v>
      </c>
      <c r="G460" s="212">
        <v>119580</v>
      </c>
      <c r="H460" s="212">
        <v>1421</v>
      </c>
      <c r="I460" s="212">
        <v>42630</v>
      </c>
      <c r="J460" s="212">
        <v>76950</v>
      </c>
    </row>
    <row r="461" spans="1:10" ht="14.1" customHeight="1" x14ac:dyDescent="0.15">
      <c r="A461" s="221"/>
      <c r="B461" s="221"/>
      <c r="C461" s="221"/>
      <c r="D461" s="210" t="s">
        <v>79</v>
      </c>
      <c r="E461" s="212">
        <v>10</v>
      </c>
      <c r="F461" s="212">
        <v>28332</v>
      </c>
      <c r="G461" s="212">
        <v>283320</v>
      </c>
      <c r="H461" s="212">
        <v>1421</v>
      </c>
      <c r="I461" s="212">
        <v>14210</v>
      </c>
      <c r="J461" s="212">
        <v>269110</v>
      </c>
    </row>
    <row r="462" spans="1:10" ht="14.1" customHeight="1" x14ac:dyDescent="0.15">
      <c r="A462" s="221"/>
      <c r="B462" s="221"/>
      <c r="C462" s="221"/>
      <c r="D462" s="210" t="s">
        <v>73</v>
      </c>
      <c r="E462" s="212">
        <v>18</v>
      </c>
      <c r="F462" s="212">
        <v>14548</v>
      </c>
      <c r="G462" s="212">
        <v>261864</v>
      </c>
      <c r="H462" s="212">
        <v>1421</v>
      </c>
      <c r="I462" s="212">
        <v>25578</v>
      </c>
      <c r="J462" s="212">
        <v>236286</v>
      </c>
    </row>
    <row r="463" spans="1:10" ht="14.1" customHeight="1" x14ac:dyDescent="0.15">
      <c r="A463" s="221"/>
      <c r="B463" s="221"/>
      <c r="C463" s="221"/>
      <c r="D463" s="210" t="s">
        <v>71</v>
      </c>
      <c r="E463" s="212">
        <v>14</v>
      </c>
      <c r="F463" s="212">
        <v>8249</v>
      </c>
      <c r="G463" s="212">
        <v>115486</v>
      </c>
      <c r="H463" s="212">
        <v>1421</v>
      </c>
      <c r="I463" s="212">
        <v>19894</v>
      </c>
      <c r="J463" s="212">
        <v>95592</v>
      </c>
    </row>
    <row r="464" spans="1:10" ht="14.1" customHeight="1" x14ac:dyDescent="0.15">
      <c r="A464" s="221"/>
      <c r="B464" s="221"/>
      <c r="C464" s="221"/>
      <c r="D464" s="210" t="s">
        <v>82</v>
      </c>
      <c r="E464" s="212">
        <v>2</v>
      </c>
      <c r="F464" s="212">
        <v>3831</v>
      </c>
      <c r="G464" s="212">
        <v>7662</v>
      </c>
      <c r="H464" s="212">
        <v>1421</v>
      </c>
      <c r="I464" s="212">
        <v>2842</v>
      </c>
      <c r="J464" s="212">
        <v>4820</v>
      </c>
    </row>
    <row r="465" spans="1:10" ht="14.1" customHeight="1" x14ac:dyDescent="0.15">
      <c r="A465" s="221"/>
      <c r="B465" s="221"/>
      <c r="C465" s="221"/>
      <c r="D465" s="210" t="s">
        <v>139</v>
      </c>
      <c r="E465" s="212">
        <v>29</v>
      </c>
      <c r="F465" s="212">
        <v>5518</v>
      </c>
      <c r="G465" s="212">
        <v>160022</v>
      </c>
      <c r="H465" s="212">
        <v>1421</v>
      </c>
      <c r="I465" s="212">
        <v>41209</v>
      </c>
      <c r="J465" s="212">
        <v>118813</v>
      </c>
    </row>
    <row r="466" spans="1:10" ht="14.1" customHeight="1" x14ac:dyDescent="0.15">
      <c r="A466" s="221"/>
      <c r="B466" s="221"/>
      <c r="C466" s="221"/>
      <c r="D466" s="210" t="s">
        <v>140</v>
      </c>
      <c r="E466" s="212">
        <v>6</v>
      </c>
      <c r="F466" s="212">
        <v>6524</v>
      </c>
      <c r="G466" s="212">
        <v>39144</v>
      </c>
      <c r="H466" s="212">
        <v>1421</v>
      </c>
      <c r="I466" s="212">
        <v>8526</v>
      </c>
      <c r="J466" s="212">
        <v>30618</v>
      </c>
    </row>
    <row r="467" spans="1:10" ht="29.1" customHeight="1" x14ac:dyDescent="0.15">
      <c r="A467" s="221"/>
      <c r="B467" s="221"/>
      <c r="C467" s="222" t="s">
        <v>160</v>
      </c>
      <c r="D467" s="210" t="s">
        <v>70</v>
      </c>
      <c r="E467" s="212">
        <v>6</v>
      </c>
      <c r="F467" s="212">
        <v>3932</v>
      </c>
      <c r="G467" s="212">
        <v>23592</v>
      </c>
      <c r="H467" s="212">
        <v>1367</v>
      </c>
      <c r="I467" s="212">
        <v>8202</v>
      </c>
      <c r="J467" s="212">
        <v>15390</v>
      </c>
    </row>
    <row r="468" spans="1:10" ht="14.1" customHeight="1" x14ac:dyDescent="0.15">
      <c r="A468" s="221"/>
      <c r="B468" s="221"/>
      <c r="C468" s="221"/>
      <c r="D468" s="210" t="s">
        <v>88</v>
      </c>
      <c r="E468" s="212">
        <v>18</v>
      </c>
      <c r="F468" s="212">
        <v>62394</v>
      </c>
      <c r="G468" s="212">
        <v>1123097</v>
      </c>
      <c r="H468" s="212">
        <v>1367</v>
      </c>
      <c r="I468" s="212">
        <v>24606</v>
      </c>
      <c r="J468" s="212">
        <v>1098491</v>
      </c>
    </row>
    <row r="469" spans="1:10" ht="14.1" customHeight="1" x14ac:dyDescent="0.15">
      <c r="A469" s="221"/>
      <c r="B469" s="221"/>
      <c r="C469" s="221"/>
      <c r="D469" s="210" t="s">
        <v>101</v>
      </c>
      <c r="E469" s="212">
        <v>1</v>
      </c>
      <c r="F469" s="212">
        <v>46353</v>
      </c>
      <c r="G469" s="212">
        <v>46353</v>
      </c>
      <c r="H469" s="212">
        <v>1367</v>
      </c>
      <c r="I469" s="212">
        <v>1367</v>
      </c>
      <c r="J469" s="212">
        <v>44986</v>
      </c>
    </row>
    <row r="470" spans="1:10" ht="14.1" customHeight="1" x14ac:dyDescent="0.15">
      <c r="A470" s="221"/>
      <c r="B470" s="221"/>
      <c r="C470" s="221"/>
      <c r="D470" s="210" t="s">
        <v>79</v>
      </c>
      <c r="E470" s="212">
        <v>65</v>
      </c>
      <c r="F470" s="212">
        <v>28206</v>
      </c>
      <c r="G470" s="212">
        <v>1833415</v>
      </c>
      <c r="H470" s="212">
        <v>1367</v>
      </c>
      <c r="I470" s="212">
        <v>88855</v>
      </c>
      <c r="J470" s="212">
        <v>1744560</v>
      </c>
    </row>
    <row r="471" spans="1:10" ht="14.1" customHeight="1" x14ac:dyDescent="0.15">
      <c r="A471" s="221"/>
      <c r="B471" s="221"/>
      <c r="C471" s="221"/>
      <c r="D471" s="210" t="s">
        <v>73</v>
      </c>
      <c r="E471" s="212">
        <v>30</v>
      </c>
      <c r="F471" s="212">
        <v>14472</v>
      </c>
      <c r="G471" s="212">
        <v>434155</v>
      </c>
      <c r="H471" s="212">
        <v>1367</v>
      </c>
      <c r="I471" s="212">
        <v>41010</v>
      </c>
      <c r="J471" s="212">
        <v>393145</v>
      </c>
    </row>
    <row r="472" spans="1:10" ht="14.1" customHeight="1" x14ac:dyDescent="0.15">
      <c r="A472" s="221"/>
      <c r="B472" s="221"/>
      <c r="C472" s="221"/>
      <c r="D472" s="210" t="s">
        <v>74</v>
      </c>
      <c r="E472" s="212">
        <v>19</v>
      </c>
      <c r="F472" s="212">
        <v>11407</v>
      </c>
      <c r="G472" s="212">
        <v>216733</v>
      </c>
      <c r="H472" s="212">
        <v>1367</v>
      </c>
      <c r="I472" s="212">
        <v>25973</v>
      </c>
      <c r="J472" s="212">
        <v>190760</v>
      </c>
    </row>
    <row r="473" spans="1:10" ht="14.1" customHeight="1" x14ac:dyDescent="0.15">
      <c r="A473" s="221"/>
      <c r="B473" s="221"/>
      <c r="C473" s="221"/>
      <c r="D473" s="210" t="s">
        <v>71</v>
      </c>
      <c r="E473" s="212">
        <v>11</v>
      </c>
      <c r="F473" s="212">
        <v>8014</v>
      </c>
      <c r="G473" s="212">
        <v>88150</v>
      </c>
      <c r="H473" s="212">
        <v>1367</v>
      </c>
      <c r="I473" s="212">
        <v>15037</v>
      </c>
      <c r="J473" s="212">
        <v>73113</v>
      </c>
    </row>
    <row r="474" spans="1:10" ht="14.1" customHeight="1" x14ac:dyDescent="0.15">
      <c r="A474" s="221"/>
      <c r="B474" s="221"/>
      <c r="C474" s="221"/>
      <c r="D474" s="210" t="s">
        <v>72</v>
      </c>
      <c r="E474" s="212">
        <v>5</v>
      </c>
      <c r="F474" s="212">
        <v>5618</v>
      </c>
      <c r="G474" s="212">
        <v>28090</v>
      </c>
      <c r="H474" s="212">
        <v>1367</v>
      </c>
      <c r="I474" s="212">
        <v>6835</v>
      </c>
      <c r="J474" s="212">
        <v>21255</v>
      </c>
    </row>
    <row r="475" spans="1:10" ht="14.1" customHeight="1" x14ac:dyDescent="0.15">
      <c r="A475" s="221"/>
      <c r="B475" s="221"/>
      <c r="C475" s="221"/>
      <c r="D475" s="210" t="s">
        <v>139</v>
      </c>
      <c r="E475" s="212">
        <v>25</v>
      </c>
      <c r="F475" s="212">
        <v>5437</v>
      </c>
      <c r="G475" s="212">
        <v>135935</v>
      </c>
      <c r="H475" s="212">
        <v>1367</v>
      </c>
      <c r="I475" s="212">
        <v>34175</v>
      </c>
      <c r="J475" s="212">
        <v>101760</v>
      </c>
    </row>
    <row r="476" spans="1:10" ht="14.1" customHeight="1" x14ac:dyDescent="0.15">
      <c r="A476" s="221"/>
      <c r="B476" s="221"/>
      <c r="C476" s="221"/>
      <c r="D476" s="210" t="s">
        <v>140</v>
      </c>
      <c r="E476" s="212">
        <v>78</v>
      </c>
      <c r="F476" s="212">
        <v>6393</v>
      </c>
      <c r="G476" s="212">
        <v>498675</v>
      </c>
      <c r="H476" s="212">
        <v>1367</v>
      </c>
      <c r="I476" s="212">
        <v>106626</v>
      </c>
      <c r="J476" s="212">
        <v>392049</v>
      </c>
    </row>
    <row r="477" spans="1:10" ht="29.1" customHeight="1" x14ac:dyDescent="0.15">
      <c r="A477" s="221"/>
      <c r="B477" s="221"/>
      <c r="C477" s="222" t="s">
        <v>161</v>
      </c>
      <c r="D477" s="210" t="s">
        <v>70</v>
      </c>
      <c r="E477" s="212">
        <v>1829</v>
      </c>
      <c r="F477" s="212">
        <v>3267</v>
      </c>
      <c r="G477" s="212">
        <v>5975343</v>
      </c>
      <c r="H477" s="212">
        <v>702</v>
      </c>
      <c r="I477" s="212">
        <v>1283958</v>
      </c>
      <c r="J477" s="212">
        <v>4691385</v>
      </c>
    </row>
    <row r="478" spans="1:10" ht="14.1" customHeight="1" x14ac:dyDescent="0.15">
      <c r="A478" s="221"/>
      <c r="B478" s="221"/>
      <c r="C478" s="221"/>
      <c r="D478" s="210" t="s">
        <v>88</v>
      </c>
      <c r="E478" s="212">
        <v>62</v>
      </c>
      <c r="F478" s="212">
        <v>61914</v>
      </c>
      <c r="G478" s="212">
        <v>3838668</v>
      </c>
      <c r="H478" s="212">
        <v>702</v>
      </c>
      <c r="I478" s="212">
        <v>43524</v>
      </c>
      <c r="J478" s="212">
        <v>3795144</v>
      </c>
    </row>
    <row r="479" spans="1:10" ht="14.1" customHeight="1" x14ac:dyDescent="0.15">
      <c r="A479" s="221"/>
      <c r="B479" s="221"/>
      <c r="C479" s="221"/>
      <c r="D479" s="210" t="s">
        <v>101</v>
      </c>
      <c r="E479" s="212">
        <v>24</v>
      </c>
      <c r="F479" s="212">
        <v>45688</v>
      </c>
      <c r="G479" s="212">
        <v>1096512</v>
      </c>
      <c r="H479" s="212">
        <v>702</v>
      </c>
      <c r="I479" s="212">
        <v>16848</v>
      </c>
      <c r="J479" s="212">
        <v>1079664</v>
      </c>
    </row>
    <row r="480" spans="1:10" ht="14.1" customHeight="1" x14ac:dyDescent="0.15">
      <c r="A480" s="221"/>
      <c r="B480" s="221"/>
      <c r="C480" s="221"/>
      <c r="D480" s="210" t="s">
        <v>79</v>
      </c>
      <c r="E480" s="212">
        <v>2887</v>
      </c>
      <c r="F480" s="212">
        <v>27613</v>
      </c>
      <c r="G480" s="212">
        <v>79718731</v>
      </c>
      <c r="H480" s="212">
        <v>702</v>
      </c>
      <c r="I480" s="212">
        <v>2026674</v>
      </c>
      <c r="J480" s="212">
        <v>77692057</v>
      </c>
    </row>
    <row r="481" spans="1:10" ht="14.1" customHeight="1" x14ac:dyDescent="0.15">
      <c r="A481" s="221"/>
      <c r="B481" s="221"/>
      <c r="C481" s="221"/>
      <c r="D481" s="210" t="s">
        <v>73</v>
      </c>
      <c r="E481" s="212">
        <v>3960</v>
      </c>
      <c r="F481" s="212">
        <v>13829</v>
      </c>
      <c r="G481" s="212">
        <v>54762840</v>
      </c>
      <c r="H481" s="212">
        <v>702</v>
      </c>
      <c r="I481" s="212">
        <v>2779920</v>
      </c>
      <c r="J481" s="212">
        <v>51982920</v>
      </c>
    </row>
    <row r="482" spans="1:10" ht="14.1" customHeight="1" x14ac:dyDescent="0.15">
      <c r="A482" s="221"/>
      <c r="B482" s="221"/>
      <c r="C482" s="221"/>
      <c r="D482" s="210" t="s">
        <v>74</v>
      </c>
      <c r="E482" s="212">
        <v>1902</v>
      </c>
      <c r="F482" s="212">
        <v>10742</v>
      </c>
      <c r="G482" s="212">
        <v>20432003</v>
      </c>
      <c r="H482" s="212">
        <v>702</v>
      </c>
      <c r="I482" s="212">
        <v>1335204</v>
      </c>
      <c r="J482" s="212">
        <v>19096799</v>
      </c>
    </row>
    <row r="483" spans="1:10" ht="14.1" customHeight="1" x14ac:dyDescent="0.15">
      <c r="A483" s="221"/>
      <c r="B483" s="221"/>
      <c r="C483" s="221"/>
      <c r="D483" s="210" t="s">
        <v>71</v>
      </c>
      <c r="E483" s="212">
        <v>1103</v>
      </c>
      <c r="F483" s="212">
        <v>7530</v>
      </c>
      <c r="G483" s="212">
        <v>8305590</v>
      </c>
      <c r="H483" s="212">
        <v>702</v>
      </c>
      <c r="I483" s="212">
        <v>774306</v>
      </c>
      <c r="J483" s="212">
        <v>7531284</v>
      </c>
    </row>
    <row r="484" spans="1:10" ht="14.1" customHeight="1" x14ac:dyDescent="0.15">
      <c r="A484" s="221"/>
      <c r="B484" s="221"/>
      <c r="C484" s="221"/>
      <c r="D484" s="210" t="s">
        <v>72</v>
      </c>
      <c r="E484" s="212">
        <v>156</v>
      </c>
      <c r="F484" s="212">
        <v>4953</v>
      </c>
      <c r="G484" s="212">
        <v>772668</v>
      </c>
      <c r="H484" s="212">
        <v>702</v>
      </c>
      <c r="I484" s="212">
        <v>109512</v>
      </c>
      <c r="J484" s="212">
        <v>663156</v>
      </c>
    </row>
    <row r="485" spans="1:10" ht="14.1" customHeight="1" x14ac:dyDescent="0.15">
      <c r="A485" s="221"/>
      <c r="B485" s="221"/>
      <c r="C485" s="221"/>
      <c r="D485" s="210" t="s">
        <v>82</v>
      </c>
      <c r="E485" s="212">
        <v>73</v>
      </c>
      <c r="F485" s="212">
        <v>3122</v>
      </c>
      <c r="G485" s="212">
        <v>227895</v>
      </c>
      <c r="H485" s="212">
        <v>702</v>
      </c>
      <c r="I485" s="212">
        <v>51246</v>
      </c>
      <c r="J485" s="212">
        <v>176649</v>
      </c>
    </row>
    <row r="486" spans="1:10" ht="14.1" customHeight="1" x14ac:dyDescent="0.15">
      <c r="A486" s="221"/>
      <c r="B486" s="221"/>
      <c r="C486" s="221"/>
      <c r="D486" s="210" t="s">
        <v>75</v>
      </c>
      <c r="E486" s="212">
        <v>10</v>
      </c>
      <c r="F486" s="212">
        <v>1907</v>
      </c>
      <c r="G486" s="212">
        <v>19070</v>
      </c>
      <c r="H486" s="212">
        <v>702</v>
      </c>
      <c r="I486" s="212">
        <v>7020</v>
      </c>
      <c r="J486" s="212">
        <v>12050</v>
      </c>
    </row>
    <row r="487" spans="1:10" ht="14.1" customHeight="1" x14ac:dyDescent="0.15">
      <c r="A487" s="221"/>
      <c r="B487" s="221"/>
      <c r="C487" s="221"/>
      <c r="D487" s="210" t="s">
        <v>69</v>
      </c>
      <c r="E487" s="212">
        <v>92</v>
      </c>
      <c r="F487" s="212">
        <v>24895</v>
      </c>
      <c r="G487" s="212">
        <v>2290340</v>
      </c>
      <c r="H487" s="212">
        <v>702</v>
      </c>
      <c r="I487" s="212">
        <v>64584</v>
      </c>
      <c r="J487" s="212">
        <v>2225756</v>
      </c>
    </row>
    <row r="488" spans="1:10" ht="14.1" customHeight="1" x14ac:dyDescent="0.15">
      <c r="A488" s="221"/>
      <c r="B488" s="221"/>
      <c r="C488" s="221"/>
      <c r="D488" s="210" t="s">
        <v>139</v>
      </c>
      <c r="E488" s="212">
        <v>1053</v>
      </c>
      <c r="F488" s="212">
        <v>4800</v>
      </c>
      <c r="G488" s="212">
        <v>5054066</v>
      </c>
      <c r="H488" s="212">
        <v>702</v>
      </c>
      <c r="I488" s="212">
        <v>739206</v>
      </c>
      <c r="J488" s="212">
        <v>4314860</v>
      </c>
    </row>
    <row r="489" spans="1:10" ht="14.1" customHeight="1" x14ac:dyDescent="0.15">
      <c r="A489" s="221"/>
      <c r="B489" s="221"/>
      <c r="C489" s="221"/>
      <c r="D489" s="210" t="s">
        <v>140</v>
      </c>
      <c r="E489" s="212">
        <v>6015</v>
      </c>
      <c r="F489" s="212">
        <v>5805</v>
      </c>
      <c r="G489" s="212">
        <v>34917794</v>
      </c>
      <c r="H489" s="212">
        <v>702</v>
      </c>
      <c r="I489" s="212">
        <v>4222530</v>
      </c>
      <c r="J489" s="212">
        <v>30695264</v>
      </c>
    </row>
    <row r="490" spans="1:10" ht="14.1" customHeight="1" x14ac:dyDescent="0.15">
      <c r="A490" s="221"/>
      <c r="B490" s="220" t="s">
        <v>168</v>
      </c>
      <c r="C490" s="223" t="s">
        <v>67</v>
      </c>
      <c r="D490" s="210" t="s">
        <v>152</v>
      </c>
      <c r="E490" s="212">
        <v>1</v>
      </c>
      <c r="F490" s="212">
        <v>61212</v>
      </c>
      <c r="G490" s="212">
        <v>61212</v>
      </c>
      <c r="H490" s="212">
        <v>925</v>
      </c>
      <c r="I490" s="212">
        <v>925</v>
      </c>
      <c r="J490" s="212">
        <v>60287</v>
      </c>
    </row>
    <row r="491" spans="1:10" ht="14.1" customHeight="1" x14ac:dyDescent="0.15">
      <c r="A491" s="221"/>
      <c r="B491" s="221"/>
      <c r="C491" s="221"/>
      <c r="D491" s="210" t="s">
        <v>144</v>
      </c>
      <c r="E491" s="212">
        <v>6</v>
      </c>
      <c r="F491" s="212">
        <v>44986</v>
      </c>
      <c r="G491" s="212">
        <v>269916</v>
      </c>
      <c r="H491" s="212">
        <v>925</v>
      </c>
      <c r="I491" s="212">
        <v>5550</v>
      </c>
      <c r="J491" s="212">
        <v>264366</v>
      </c>
    </row>
    <row r="492" spans="1:10" ht="14.1" customHeight="1" x14ac:dyDescent="0.15">
      <c r="A492" s="221"/>
      <c r="B492" s="221"/>
      <c r="C492" s="221"/>
      <c r="D492" s="210" t="s">
        <v>145</v>
      </c>
      <c r="E492" s="212">
        <v>22</v>
      </c>
      <c r="F492" s="212">
        <v>26911</v>
      </c>
      <c r="G492" s="212">
        <v>592042</v>
      </c>
      <c r="H492" s="212">
        <v>925</v>
      </c>
      <c r="I492" s="212">
        <v>20350</v>
      </c>
      <c r="J492" s="212">
        <v>571692</v>
      </c>
    </row>
    <row r="493" spans="1:10" ht="14.1" customHeight="1" x14ac:dyDescent="0.15">
      <c r="A493" s="221"/>
      <c r="B493" s="221"/>
      <c r="C493" s="221"/>
      <c r="D493" s="210" t="s">
        <v>85</v>
      </c>
      <c r="E493" s="212">
        <v>4</v>
      </c>
      <c r="F493" s="212">
        <v>26911</v>
      </c>
      <c r="G493" s="212">
        <v>107644</v>
      </c>
      <c r="H493" s="212">
        <v>925</v>
      </c>
      <c r="I493" s="212">
        <v>3700</v>
      </c>
      <c r="J493" s="212">
        <v>103944</v>
      </c>
    </row>
    <row r="494" spans="1:10" ht="14.1" customHeight="1" x14ac:dyDescent="0.15">
      <c r="A494" s="221"/>
      <c r="B494" s="221"/>
      <c r="C494" s="221"/>
      <c r="D494" s="210" t="s">
        <v>141</v>
      </c>
      <c r="E494" s="212">
        <v>24</v>
      </c>
      <c r="F494" s="212">
        <v>13127</v>
      </c>
      <c r="G494" s="212">
        <v>315048</v>
      </c>
      <c r="H494" s="212">
        <v>925</v>
      </c>
      <c r="I494" s="212">
        <v>22200</v>
      </c>
      <c r="J494" s="212">
        <v>292848</v>
      </c>
    </row>
    <row r="495" spans="1:10" ht="14.1" customHeight="1" x14ac:dyDescent="0.15">
      <c r="A495" s="221"/>
      <c r="B495" s="221"/>
      <c r="C495" s="221"/>
      <c r="D495" s="210" t="s">
        <v>78</v>
      </c>
      <c r="E495" s="212">
        <v>2</v>
      </c>
      <c r="F495" s="212">
        <v>13127</v>
      </c>
      <c r="G495" s="212">
        <v>26254</v>
      </c>
      <c r="H495" s="212">
        <v>925</v>
      </c>
      <c r="I495" s="212">
        <v>1850</v>
      </c>
      <c r="J495" s="212">
        <v>24404</v>
      </c>
    </row>
    <row r="496" spans="1:10" ht="14.1" customHeight="1" x14ac:dyDescent="0.15">
      <c r="A496" s="221"/>
      <c r="B496" s="221"/>
      <c r="C496" s="221"/>
      <c r="D496" s="210" t="s">
        <v>146</v>
      </c>
      <c r="E496" s="212">
        <v>18</v>
      </c>
      <c r="F496" s="212">
        <v>10040</v>
      </c>
      <c r="G496" s="212">
        <v>180720</v>
      </c>
      <c r="H496" s="212">
        <v>925</v>
      </c>
      <c r="I496" s="212">
        <v>16650</v>
      </c>
      <c r="J496" s="212">
        <v>164070</v>
      </c>
    </row>
    <row r="497" spans="1:10" ht="14.1" customHeight="1" x14ac:dyDescent="0.15">
      <c r="A497" s="221"/>
      <c r="B497" s="221"/>
      <c r="C497" s="221"/>
      <c r="D497" s="210" t="s">
        <v>83</v>
      </c>
      <c r="E497" s="212">
        <v>1</v>
      </c>
      <c r="F497" s="212">
        <v>10040</v>
      </c>
      <c r="G497" s="212">
        <v>10040</v>
      </c>
      <c r="H497" s="212">
        <v>925</v>
      </c>
      <c r="I497" s="212">
        <v>925</v>
      </c>
      <c r="J497" s="212">
        <v>9115</v>
      </c>
    </row>
    <row r="498" spans="1:10" ht="14.1" customHeight="1" x14ac:dyDescent="0.15">
      <c r="A498" s="221"/>
      <c r="B498" s="221"/>
      <c r="C498" s="221"/>
      <c r="D498" s="210" t="s">
        <v>136</v>
      </c>
      <c r="E498" s="212">
        <v>44</v>
      </c>
      <c r="F498" s="212">
        <v>6828</v>
      </c>
      <c r="G498" s="212">
        <v>300432</v>
      </c>
      <c r="H498" s="212">
        <v>925</v>
      </c>
      <c r="I498" s="212">
        <v>40700</v>
      </c>
      <c r="J498" s="212">
        <v>259732</v>
      </c>
    </row>
    <row r="499" spans="1:10" ht="14.1" customHeight="1" x14ac:dyDescent="0.15">
      <c r="A499" s="221"/>
      <c r="B499" s="221"/>
      <c r="C499" s="221"/>
      <c r="D499" s="210" t="s">
        <v>77</v>
      </c>
      <c r="E499" s="212">
        <v>112</v>
      </c>
      <c r="F499" s="212">
        <v>6828</v>
      </c>
      <c r="G499" s="212">
        <v>764736</v>
      </c>
      <c r="H499" s="212">
        <v>925</v>
      </c>
      <c r="I499" s="212">
        <v>103600</v>
      </c>
      <c r="J499" s="212">
        <v>661136</v>
      </c>
    </row>
    <row r="500" spans="1:10" ht="14.1" customHeight="1" x14ac:dyDescent="0.15">
      <c r="A500" s="221"/>
      <c r="B500" s="221"/>
      <c r="C500" s="221"/>
      <c r="D500" s="210" t="s">
        <v>149</v>
      </c>
      <c r="E500" s="212">
        <v>17</v>
      </c>
      <c r="F500" s="212">
        <v>4251</v>
      </c>
      <c r="G500" s="212">
        <v>72267</v>
      </c>
      <c r="H500" s="212">
        <v>925</v>
      </c>
      <c r="I500" s="212">
        <v>15725</v>
      </c>
      <c r="J500" s="212">
        <v>56542</v>
      </c>
    </row>
    <row r="501" spans="1:10" ht="14.1" customHeight="1" x14ac:dyDescent="0.15">
      <c r="A501" s="221"/>
      <c r="B501" s="221"/>
      <c r="C501" s="221"/>
      <c r="D501" s="210" t="s">
        <v>86</v>
      </c>
      <c r="E501" s="212">
        <v>4</v>
      </c>
      <c r="F501" s="212">
        <v>4251</v>
      </c>
      <c r="G501" s="212">
        <v>17004</v>
      </c>
      <c r="H501" s="212">
        <v>925</v>
      </c>
      <c r="I501" s="212">
        <v>3700</v>
      </c>
      <c r="J501" s="212">
        <v>13304</v>
      </c>
    </row>
    <row r="502" spans="1:10" ht="14.1" customHeight="1" x14ac:dyDescent="0.15">
      <c r="A502" s="221"/>
      <c r="B502" s="221"/>
      <c r="C502" s="221"/>
      <c r="D502" s="210" t="s">
        <v>147</v>
      </c>
      <c r="E502" s="212">
        <v>5</v>
      </c>
      <c r="F502" s="212">
        <v>2410</v>
      </c>
      <c r="G502" s="212">
        <v>12050</v>
      </c>
      <c r="H502" s="212">
        <v>925</v>
      </c>
      <c r="I502" s="212">
        <v>4625</v>
      </c>
      <c r="J502" s="212">
        <v>7425</v>
      </c>
    </row>
    <row r="503" spans="1:10" ht="29.1" customHeight="1" x14ac:dyDescent="0.15">
      <c r="A503" s="221"/>
      <c r="B503" s="221"/>
      <c r="C503" s="222" t="s">
        <v>159</v>
      </c>
      <c r="D503" s="210" t="s">
        <v>101</v>
      </c>
      <c r="E503" s="212">
        <v>1</v>
      </c>
      <c r="F503" s="212">
        <v>46407</v>
      </c>
      <c r="G503" s="212">
        <v>46407</v>
      </c>
      <c r="H503" s="212">
        <v>2346</v>
      </c>
      <c r="I503" s="212">
        <v>2346</v>
      </c>
      <c r="J503" s="212">
        <v>44061</v>
      </c>
    </row>
    <row r="504" spans="1:10" ht="14.1" customHeight="1" x14ac:dyDescent="0.15">
      <c r="A504" s="221"/>
      <c r="B504" s="221"/>
      <c r="C504" s="221"/>
      <c r="D504" s="210" t="s">
        <v>79</v>
      </c>
      <c r="E504" s="212">
        <v>6</v>
      </c>
      <c r="F504" s="212">
        <v>28332</v>
      </c>
      <c r="G504" s="212">
        <v>169992</v>
      </c>
      <c r="H504" s="212">
        <v>2346</v>
      </c>
      <c r="I504" s="212">
        <v>14076</v>
      </c>
      <c r="J504" s="212">
        <v>155916</v>
      </c>
    </row>
    <row r="505" spans="1:10" ht="14.1" customHeight="1" x14ac:dyDescent="0.15">
      <c r="A505" s="221"/>
      <c r="B505" s="221"/>
      <c r="C505" s="221"/>
      <c r="D505" s="210" t="s">
        <v>73</v>
      </c>
      <c r="E505" s="212">
        <v>3</v>
      </c>
      <c r="F505" s="212">
        <v>14548</v>
      </c>
      <c r="G505" s="212">
        <v>43644</v>
      </c>
      <c r="H505" s="212">
        <v>2346</v>
      </c>
      <c r="I505" s="212">
        <v>7038</v>
      </c>
      <c r="J505" s="212">
        <v>36606</v>
      </c>
    </row>
    <row r="506" spans="1:10" ht="14.1" customHeight="1" x14ac:dyDescent="0.15">
      <c r="A506" s="221"/>
      <c r="B506" s="221"/>
      <c r="C506" s="221"/>
      <c r="D506" s="210" t="s">
        <v>74</v>
      </c>
      <c r="E506" s="212">
        <v>14</v>
      </c>
      <c r="F506" s="212">
        <v>11461</v>
      </c>
      <c r="G506" s="212">
        <v>160454</v>
      </c>
      <c r="H506" s="212">
        <v>2346</v>
      </c>
      <c r="I506" s="212">
        <v>32844</v>
      </c>
      <c r="J506" s="212">
        <v>127610</v>
      </c>
    </row>
    <row r="507" spans="1:10" ht="14.1" customHeight="1" x14ac:dyDescent="0.15">
      <c r="A507" s="221"/>
      <c r="B507" s="221"/>
      <c r="C507" s="221"/>
      <c r="D507" s="210" t="s">
        <v>71</v>
      </c>
      <c r="E507" s="212">
        <v>20</v>
      </c>
      <c r="F507" s="212">
        <v>8249</v>
      </c>
      <c r="G507" s="212">
        <v>164980</v>
      </c>
      <c r="H507" s="212">
        <v>2346</v>
      </c>
      <c r="I507" s="212">
        <v>46920</v>
      </c>
      <c r="J507" s="212">
        <v>118060</v>
      </c>
    </row>
    <row r="508" spans="1:10" ht="14.1" customHeight="1" x14ac:dyDescent="0.15">
      <c r="A508" s="221"/>
      <c r="B508" s="221"/>
      <c r="C508" s="221"/>
      <c r="D508" s="210" t="s">
        <v>72</v>
      </c>
      <c r="E508" s="212">
        <v>2</v>
      </c>
      <c r="F508" s="212">
        <v>5672</v>
      </c>
      <c r="G508" s="212">
        <v>11344</v>
      </c>
      <c r="H508" s="212">
        <v>2346</v>
      </c>
      <c r="I508" s="212">
        <v>4692</v>
      </c>
      <c r="J508" s="212">
        <v>6652</v>
      </c>
    </row>
    <row r="509" spans="1:10" ht="29.1" customHeight="1" x14ac:dyDescent="0.15">
      <c r="A509" s="221"/>
      <c r="B509" s="221"/>
      <c r="C509" s="222" t="s">
        <v>160</v>
      </c>
      <c r="D509" s="210" t="s">
        <v>101</v>
      </c>
      <c r="E509" s="212">
        <v>2</v>
      </c>
      <c r="F509" s="212">
        <v>45688</v>
      </c>
      <c r="G509" s="212">
        <v>91376</v>
      </c>
      <c r="H509" s="212">
        <v>2292</v>
      </c>
      <c r="I509" s="212">
        <v>4584</v>
      </c>
      <c r="J509" s="212">
        <v>86792</v>
      </c>
    </row>
    <row r="510" spans="1:10" ht="14.1" customHeight="1" x14ac:dyDescent="0.15">
      <c r="A510" s="221"/>
      <c r="B510" s="221"/>
      <c r="C510" s="221"/>
      <c r="D510" s="210" t="s">
        <v>79</v>
      </c>
      <c r="E510" s="212">
        <v>56</v>
      </c>
      <c r="F510" s="212">
        <v>28219</v>
      </c>
      <c r="G510" s="212">
        <v>1580243</v>
      </c>
      <c r="H510" s="212">
        <v>2292</v>
      </c>
      <c r="I510" s="212">
        <v>128352</v>
      </c>
      <c r="J510" s="212">
        <v>1451891</v>
      </c>
    </row>
    <row r="511" spans="1:10" ht="14.1" customHeight="1" x14ac:dyDescent="0.15">
      <c r="A511" s="221"/>
      <c r="B511" s="221"/>
      <c r="C511" s="221"/>
      <c r="D511" s="210" t="s">
        <v>73</v>
      </c>
      <c r="E511" s="212">
        <v>71</v>
      </c>
      <c r="F511" s="212">
        <v>14447</v>
      </c>
      <c r="G511" s="212">
        <v>1025749</v>
      </c>
      <c r="H511" s="212">
        <v>2292</v>
      </c>
      <c r="I511" s="212">
        <v>162732</v>
      </c>
      <c r="J511" s="212">
        <v>863017</v>
      </c>
    </row>
    <row r="512" spans="1:10" ht="14.1" customHeight="1" x14ac:dyDescent="0.15">
      <c r="A512" s="221"/>
      <c r="B512" s="221"/>
      <c r="C512" s="221"/>
      <c r="D512" s="210" t="s">
        <v>74</v>
      </c>
      <c r="E512" s="212">
        <v>107</v>
      </c>
      <c r="F512" s="212">
        <v>11407</v>
      </c>
      <c r="G512" s="212">
        <v>1220549</v>
      </c>
      <c r="H512" s="212">
        <v>2292</v>
      </c>
      <c r="I512" s="212">
        <v>245244</v>
      </c>
      <c r="J512" s="212">
        <v>975305</v>
      </c>
    </row>
    <row r="513" spans="1:10" ht="14.1" customHeight="1" x14ac:dyDescent="0.15">
      <c r="A513" s="221"/>
      <c r="B513" s="221"/>
      <c r="C513" s="221"/>
      <c r="D513" s="210" t="s">
        <v>71</v>
      </c>
      <c r="E513" s="212">
        <v>1</v>
      </c>
      <c r="F513" s="212">
        <v>8195</v>
      </c>
      <c r="G513" s="212">
        <v>8195</v>
      </c>
      <c r="H513" s="212">
        <v>2292</v>
      </c>
      <c r="I513" s="212">
        <v>2292</v>
      </c>
      <c r="J513" s="212">
        <v>5903</v>
      </c>
    </row>
    <row r="514" spans="1:10" ht="14.1" customHeight="1" x14ac:dyDescent="0.15">
      <c r="A514" s="221"/>
      <c r="B514" s="221"/>
      <c r="C514" s="221"/>
      <c r="D514" s="210" t="s">
        <v>72</v>
      </c>
      <c r="E514" s="212">
        <v>1</v>
      </c>
      <c r="F514" s="212">
        <v>5618</v>
      </c>
      <c r="G514" s="212">
        <v>5618</v>
      </c>
      <c r="H514" s="212">
        <v>2292</v>
      </c>
      <c r="I514" s="212">
        <v>2292</v>
      </c>
      <c r="J514" s="212">
        <v>3326</v>
      </c>
    </row>
    <row r="515" spans="1:10" ht="29.1" customHeight="1" x14ac:dyDescent="0.15">
      <c r="A515" s="221"/>
      <c r="B515" s="221"/>
      <c r="C515" s="222" t="s">
        <v>161</v>
      </c>
      <c r="D515" s="210" t="s">
        <v>88</v>
      </c>
      <c r="E515" s="212">
        <v>18</v>
      </c>
      <c r="F515" s="212">
        <v>61914</v>
      </c>
      <c r="G515" s="212">
        <v>1114452</v>
      </c>
      <c r="H515" s="212">
        <v>1627</v>
      </c>
      <c r="I515" s="212">
        <v>29286</v>
      </c>
      <c r="J515" s="212">
        <v>1085166</v>
      </c>
    </row>
    <row r="516" spans="1:10" ht="14.1" customHeight="1" x14ac:dyDescent="0.15">
      <c r="A516" s="221"/>
      <c r="B516" s="221"/>
      <c r="C516" s="221"/>
      <c r="D516" s="210" t="s">
        <v>101</v>
      </c>
      <c r="E516" s="212">
        <v>848</v>
      </c>
      <c r="F516" s="212">
        <v>45688</v>
      </c>
      <c r="G516" s="212">
        <v>38743424</v>
      </c>
      <c r="H516" s="212">
        <v>1627</v>
      </c>
      <c r="I516" s="212">
        <v>1379696</v>
      </c>
      <c r="J516" s="212">
        <v>37363728</v>
      </c>
    </row>
    <row r="517" spans="1:10" ht="14.1" customHeight="1" x14ac:dyDescent="0.15">
      <c r="A517" s="221"/>
      <c r="B517" s="221"/>
      <c r="C517" s="221"/>
      <c r="D517" s="210" t="s">
        <v>79</v>
      </c>
      <c r="E517" s="212">
        <v>4918</v>
      </c>
      <c r="F517" s="212">
        <v>27613</v>
      </c>
      <c r="G517" s="212">
        <v>135800734</v>
      </c>
      <c r="H517" s="212">
        <v>1627</v>
      </c>
      <c r="I517" s="212">
        <v>8001586</v>
      </c>
      <c r="J517" s="212">
        <v>127799148</v>
      </c>
    </row>
    <row r="518" spans="1:10" ht="14.1" customHeight="1" x14ac:dyDescent="0.15">
      <c r="A518" s="221"/>
      <c r="B518" s="221"/>
      <c r="C518" s="221"/>
      <c r="D518" s="210" t="s">
        <v>73</v>
      </c>
      <c r="E518" s="212">
        <v>5548</v>
      </c>
      <c r="F518" s="212">
        <v>13829</v>
      </c>
      <c r="G518" s="212">
        <v>76724011</v>
      </c>
      <c r="H518" s="212">
        <v>1627</v>
      </c>
      <c r="I518" s="212">
        <v>9026596</v>
      </c>
      <c r="J518" s="212">
        <v>67697415</v>
      </c>
    </row>
    <row r="519" spans="1:10" ht="14.1" customHeight="1" x14ac:dyDescent="0.15">
      <c r="A519" s="221"/>
      <c r="B519" s="221"/>
      <c r="C519" s="221"/>
      <c r="D519" s="210" t="s">
        <v>74</v>
      </c>
      <c r="E519" s="212">
        <v>6264</v>
      </c>
      <c r="F519" s="212">
        <v>10742</v>
      </c>
      <c r="G519" s="212">
        <v>67287888</v>
      </c>
      <c r="H519" s="212">
        <v>1627</v>
      </c>
      <c r="I519" s="212">
        <v>10191528</v>
      </c>
      <c r="J519" s="212">
        <v>57096360</v>
      </c>
    </row>
    <row r="520" spans="1:10" ht="14.1" customHeight="1" x14ac:dyDescent="0.15">
      <c r="A520" s="221"/>
      <c r="B520" s="221"/>
      <c r="C520" s="221"/>
      <c r="D520" s="210" t="s">
        <v>71</v>
      </c>
      <c r="E520" s="212">
        <v>10522</v>
      </c>
      <c r="F520" s="212">
        <v>7531</v>
      </c>
      <c r="G520" s="212">
        <v>79244321</v>
      </c>
      <c r="H520" s="212">
        <v>1627</v>
      </c>
      <c r="I520" s="212">
        <v>17119294</v>
      </c>
      <c r="J520" s="212">
        <v>62125027</v>
      </c>
    </row>
    <row r="521" spans="1:10" ht="14.1" customHeight="1" x14ac:dyDescent="0.15">
      <c r="A521" s="221"/>
      <c r="B521" s="221"/>
      <c r="C521" s="221"/>
      <c r="D521" s="210" t="s">
        <v>72</v>
      </c>
      <c r="E521" s="212">
        <v>1293</v>
      </c>
      <c r="F521" s="212">
        <v>4953</v>
      </c>
      <c r="G521" s="212">
        <v>6404229</v>
      </c>
      <c r="H521" s="212">
        <v>1627</v>
      </c>
      <c r="I521" s="212">
        <v>2103711</v>
      </c>
      <c r="J521" s="212">
        <v>4300518</v>
      </c>
    </row>
    <row r="522" spans="1:10" ht="14.1" customHeight="1" x14ac:dyDescent="0.15">
      <c r="A522" s="221"/>
      <c r="B522" s="221"/>
      <c r="C522" s="221"/>
      <c r="D522" s="210" t="s">
        <v>82</v>
      </c>
      <c r="E522" s="212">
        <v>517</v>
      </c>
      <c r="F522" s="212">
        <v>3112</v>
      </c>
      <c r="G522" s="212">
        <v>1608904</v>
      </c>
      <c r="H522" s="212">
        <v>1627</v>
      </c>
      <c r="I522" s="212">
        <v>841159</v>
      </c>
      <c r="J522" s="212">
        <v>767745</v>
      </c>
    </row>
    <row r="523" spans="1:10" ht="14.1" customHeight="1" x14ac:dyDescent="0.15">
      <c r="A523" s="221"/>
      <c r="B523" s="221"/>
      <c r="C523" s="221"/>
      <c r="D523" s="210" t="s">
        <v>75</v>
      </c>
      <c r="E523" s="212">
        <v>254</v>
      </c>
      <c r="F523" s="212">
        <v>1907</v>
      </c>
      <c r="G523" s="212">
        <v>484378</v>
      </c>
      <c r="H523" s="212">
        <v>1627</v>
      </c>
      <c r="I523" s="212">
        <v>413258</v>
      </c>
      <c r="J523" s="212">
        <v>71120</v>
      </c>
    </row>
    <row r="524" spans="1:10" ht="14.1" customHeight="1" x14ac:dyDescent="0.15">
      <c r="A524" s="221" t="s">
        <v>34</v>
      </c>
      <c r="B524" s="221" t="s">
        <v>53</v>
      </c>
      <c r="C524" s="221"/>
      <c r="D524" s="221"/>
      <c r="E524" s="212">
        <v>11390</v>
      </c>
      <c r="F524" s="212">
        <v>725243</v>
      </c>
      <c r="G524" s="212">
        <v>133984471</v>
      </c>
      <c r="H524" s="212"/>
      <c r="I524" s="212">
        <v>13670255</v>
      </c>
      <c r="J524" s="212">
        <v>120314216</v>
      </c>
    </row>
    <row r="525" spans="1:10" ht="14.1" customHeight="1" x14ac:dyDescent="0.15">
      <c r="A525" s="221"/>
      <c r="B525" s="210" t="s">
        <v>63</v>
      </c>
      <c r="C525" s="210" t="s">
        <v>64</v>
      </c>
      <c r="D525" s="210" t="s">
        <v>65</v>
      </c>
      <c r="E525" s="218">
        <v>2</v>
      </c>
      <c r="F525" s="218">
        <v>10139</v>
      </c>
      <c r="G525" s="218">
        <v>20278</v>
      </c>
      <c r="H525" s="218">
        <v>0</v>
      </c>
      <c r="I525" s="218">
        <v>0</v>
      </c>
      <c r="J525" s="218">
        <v>20278</v>
      </c>
    </row>
    <row r="526" spans="1:10" ht="14.1" customHeight="1" x14ac:dyDescent="0.15">
      <c r="A526" s="221"/>
      <c r="B526" s="220" t="s">
        <v>66</v>
      </c>
      <c r="C526" s="223" t="s">
        <v>67</v>
      </c>
      <c r="D526" s="210" t="s">
        <v>134</v>
      </c>
      <c r="E526" s="219"/>
      <c r="F526" s="219"/>
      <c r="G526" s="219"/>
      <c r="H526" s="219"/>
      <c r="I526" s="219"/>
      <c r="J526" s="219"/>
    </row>
    <row r="527" spans="1:10" ht="14.1" customHeight="1" x14ac:dyDescent="0.15">
      <c r="A527" s="221"/>
      <c r="B527" s="221"/>
      <c r="C527" s="221"/>
      <c r="D527" s="210" t="s">
        <v>132</v>
      </c>
      <c r="E527" s="212">
        <v>48</v>
      </c>
      <c r="F527" s="212">
        <v>10139</v>
      </c>
      <c r="G527" s="212">
        <v>486672</v>
      </c>
      <c r="H527" s="212">
        <v>0</v>
      </c>
      <c r="I527" s="212">
        <v>0</v>
      </c>
      <c r="J527" s="212">
        <v>486672</v>
      </c>
    </row>
    <row r="528" spans="1:10" ht="29.1" customHeight="1" x14ac:dyDescent="0.15">
      <c r="A528" s="221"/>
      <c r="B528" s="221"/>
      <c r="C528" s="209" t="s">
        <v>160</v>
      </c>
      <c r="D528" s="210" t="s">
        <v>133</v>
      </c>
      <c r="E528" s="212">
        <v>3</v>
      </c>
      <c r="F528" s="212">
        <v>11506</v>
      </c>
      <c r="G528" s="212">
        <v>34518</v>
      </c>
      <c r="H528" s="212">
        <v>2292</v>
      </c>
      <c r="I528" s="212">
        <v>6876</v>
      </c>
      <c r="J528" s="212">
        <v>27642</v>
      </c>
    </row>
    <row r="529" spans="1:10" ht="29.1" customHeight="1" x14ac:dyDescent="0.15">
      <c r="A529" s="221"/>
      <c r="B529" s="221"/>
      <c r="C529" s="209" t="s">
        <v>161</v>
      </c>
      <c r="D529" s="210" t="s">
        <v>133</v>
      </c>
      <c r="E529" s="212">
        <v>740</v>
      </c>
      <c r="F529" s="212">
        <v>10841</v>
      </c>
      <c r="G529" s="212">
        <v>8022340</v>
      </c>
      <c r="H529" s="212">
        <v>1627</v>
      </c>
      <c r="I529" s="212">
        <v>1203980</v>
      </c>
      <c r="J529" s="212">
        <v>6818360</v>
      </c>
    </row>
    <row r="530" spans="1:10" ht="14.1" customHeight="1" x14ac:dyDescent="0.15">
      <c r="A530" s="221"/>
      <c r="B530" s="220" t="s">
        <v>76</v>
      </c>
      <c r="C530" s="223" t="s">
        <v>67</v>
      </c>
      <c r="D530" s="210" t="s">
        <v>136</v>
      </c>
      <c r="E530" s="212">
        <v>1</v>
      </c>
      <c r="F530" s="212">
        <v>6828</v>
      </c>
      <c r="G530" s="212">
        <v>6828</v>
      </c>
      <c r="H530" s="212">
        <v>0</v>
      </c>
      <c r="I530" s="212">
        <v>0</v>
      </c>
      <c r="J530" s="212">
        <v>6828</v>
      </c>
    </row>
    <row r="531" spans="1:10" ht="14.1" customHeight="1" x14ac:dyDescent="0.15">
      <c r="A531" s="221"/>
      <c r="B531" s="221"/>
      <c r="C531" s="221"/>
      <c r="D531" s="210" t="s">
        <v>77</v>
      </c>
      <c r="E531" s="212">
        <v>1</v>
      </c>
      <c r="F531" s="212">
        <v>6828</v>
      </c>
      <c r="G531" s="212">
        <v>6828</v>
      </c>
      <c r="H531" s="212">
        <v>0</v>
      </c>
      <c r="I531" s="212">
        <v>0</v>
      </c>
      <c r="J531" s="212">
        <v>6828</v>
      </c>
    </row>
    <row r="532" spans="1:10" ht="29.1" customHeight="1" x14ac:dyDescent="0.15">
      <c r="A532" s="221"/>
      <c r="B532" s="221"/>
      <c r="C532" s="209" t="s">
        <v>159</v>
      </c>
      <c r="D532" s="210" t="s">
        <v>91</v>
      </c>
      <c r="E532" s="212">
        <v>141</v>
      </c>
      <c r="F532" s="212">
        <v>8370</v>
      </c>
      <c r="G532" s="212">
        <v>1180170</v>
      </c>
      <c r="H532" s="212">
        <v>1421</v>
      </c>
      <c r="I532" s="212">
        <v>200361</v>
      </c>
      <c r="J532" s="212">
        <v>979809</v>
      </c>
    </row>
    <row r="533" spans="1:10" ht="29.1" customHeight="1" x14ac:dyDescent="0.15">
      <c r="A533" s="221"/>
      <c r="B533" s="221"/>
      <c r="C533" s="222" t="s">
        <v>161</v>
      </c>
      <c r="D533" s="210" t="s">
        <v>87</v>
      </c>
      <c r="E533" s="212">
        <v>2</v>
      </c>
      <c r="F533" s="212">
        <v>13362</v>
      </c>
      <c r="G533" s="212">
        <v>26724</v>
      </c>
      <c r="H533" s="212">
        <v>6286</v>
      </c>
      <c r="I533" s="212">
        <v>12572</v>
      </c>
      <c r="J533" s="212">
        <v>14152</v>
      </c>
    </row>
    <row r="534" spans="1:10" ht="14.1" customHeight="1" x14ac:dyDescent="0.15">
      <c r="A534" s="221"/>
      <c r="B534" s="221"/>
      <c r="C534" s="221"/>
      <c r="D534" s="210" t="s">
        <v>71</v>
      </c>
      <c r="E534" s="212">
        <v>1565</v>
      </c>
      <c r="F534" s="212">
        <v>7530</v>
      </c>
      <c r="G534" s="212">
        <v>11784450</v>
      </c>
      <c r="H534" s="212">
        <v>702</v>
      </c>
      <c r="I534" s="212">
        <v>1098630</v>
      </c>
      <c r="J534" s="212">
        <v>10685820</v>
      </c>
    </row>
    <row r="535" spans="1:10" ht="14.1" customHeight="1" x14ac:dyDescent="0.15">
      <c r="A535" s="221"/>
      <c r="B535" s="221"/>
      <c r="C535" s="221"/>
      <c r="D535" s="210" t="s">
        <v>91</v>
      </c>
      <c r="E535" s="212">
        <v>1633</v>
      </c>
      <c r="F535" s="212">
        <v>7651</v>
      </c>
      <c r="G535" s="212">
        <v>12494083</v>
      </c>
      <c r="H535" s="212">
        <v>702</v>
      </c>
      <c r="I535" s="212">
        <v>1146366</v>
      </c>
      <c r="J535" s="212">
        <v>11347717</v>
      </c>
    </row>
    <row r="536" spans="1:10" ht="42.95" customHeight="1" x14ac:dyDescent="0.15">
      <c r="A536" s="221"/>
      <c r="B536" s="222" t="s">
        <v>215</v>
      </c>
      <c r="C536" s="223" t="s">
        <v>67</v>
      </c>
      <c r="D536" s="210" t="s">
        <v>145</v>
      </c>
      <c r="E536" s="212">
        <v>1</v>
      </c>
      <c r="F536" s="212">
        <v>26911</v>
      </c>
      <c r="G536" s="212">
        <v>26911</v>
      </c>
      <c r="H536" s="212">
        <v>0</v>
      </c>
      <c r="I536" s="212">
        <v>0</v>
      </c>
      <c r="J536" s="212">
        <v>26911</v>
      </c>
    </row>
    <row r="537" spans="1:10" ht="14.1" customHeight="1" x14ac:dyDescent="0.15">
      <c r="A537" s="221"/>
      <c r="B537" s="221"/>
      <c r="C537" s="221"/>
      <c r="D537" s="210" t="s">
        <v>141</v>
      </c>
      <c r="E537" s="212">
        <v>1</v>
      </c>
      <c r="F537" s="212">
        <v>13127</v>
      </c>
      <c r="G537" s="212">
        <v>13127</v>
      </c>
      <c r="H537" s="212">
        <v>0</v>
      </c>
      <c r="I537" s="212">
        <v>0</v>
      </c>
      <c r="J537" s="212">
        <v>13127</v>
      </c>
    </row>
    <row r="538" spans="1:10" ht="14.1" customHeight="1" x14ac:dyDescent="0.15">
      <c r="A538" s="221"/>
      <c r="B538" s="221"/>
      <c r="C538" s="221"/>
      <c r="D538" s="210" t="s">
        <v>78</v>
      </c>
      <c r="E538" s="212">
        <v>2</v>
      </c>
      <c r="F538" s="212">
        <v>13127</v>
      </c>
      <c r="G538" s="212">
        <v>26254</v>
      </c>
      <c r="H538" s="212">
        <v>0</v>
      </c>
      <c r="I538" s="212">
        <v>0</v>
      </c>
      <c r="J538" s="212">
        <v>26254</v>
      </c>
    </row>
    <row r="539" spans="1:10" ht="14.1" customHeight="1" x14ac:dyDescent="0.15">
      <c r="A539" s="221"/>
      <c r="B539" s="221"/>
      <c r="C539" s="221"/>
      <c r="D539" s="210" t="s">
        <v>146</v>
      </c>
      <c r="E539" s="212">
        <v>1</v>
      </c>
      <c r="F539" s="212">
        <v>10040</v>
      </c>
      <c r="G539" s="212">
        <v>10040</v>
      </c>
      <c r="H539" s="212">
        <v>0</v>
      </c>
      <c r="I539" s="212">
        <v>0</v>
      </c>
      <c r="J539" s="212">
        <v>10040</v>
      </c>
    </row>
    <row r="540" spans="1:10" ht="14.1" customHeight="1" x14ac:dyDescent="0.15">
      <c r="A540" s="221"/>
      <c r="B540" s="221"/>
      <c r="C540" s="221"/>
      <c r="D540" s="210" t="s">
        <v>83</v>
      </c>
      <c r="E540" s="212">
        <v>2</v>
      </c>
      <c r="F540" s="212">
        <v>10040</v>
      </c>
      <c r="G540" s="212">
        <v>20080</v>
      </c>
      <c r="H540" s="212">
        <v>0</v>
      </c>
      <c r="I540" s="212">
        <v>0</v>
      </c>
      <c r="J540" s="212">
        <v>20080</v>
      </c>
    </row>
    <row r="541" spans="1:10" ht="14.1" customHeight="1" x14ac:dyDescent="0.15">
      <c r="A541" s="221"/>
      <c r="B541" s="221"/>
      <c r="C541" s="221"/>
      <c r="D541" s="210" t="s">
        <v>136</v>
      </c>
      <c r="E541" s="212">
        <v>1</v>
      </c>
      <c r="F541" s="212">
        <v>6828</v>
      </c>
      <c r="G541" s="212">
        <v>6828</v>
      </c>
      <c r="H541" s="212">
        <v>0</v>
      </c>
      <c r="I541" s="212">
        <v>0</v>
      </c>
      <c r="J541" s="212">
        <v>6828</v>
      </c>
    </row>
    <row r="542" spans="1:10" ht="14.1" customHeight="1" x14ac:dyDescent="0.15">
      <c r="A542" s="221"/>
      <c r="B542" s="221"/>
      <c r="C542" s="221"/>
      <c r="D542" s="210" t="s">
        <v>77</v>
      </c>
      <c r="E542" s="212">
        <v>10</v>
      </c>
      <c r="F542" s="212">
        <v>6828</v>
      </c>
      <c r="G542" s="212">
        <v>68280</v>
      </c>
      <c r="H542" s="212">
        <v>0</v>
      </c>
      <c r="I542" s="212">
        <v>0</v>
      </c>
      <c r="J542" s="212">
        <v>68280</v>
      </c>
    </row>
    <row r="543" spans="1:10" ht="14.1" customHeight="1" x14ac:dyDescent="0.15">
      <c r="A543" s="221"/>
      <c r="B543" s="221"/>
      <c r="C543" s="221"/>
      <c r="D543" s="210" t="s">
        <v>138</v>
      </c>
      <c r="E543" s="212">
        <v>30</v>
      </c>
      <c r="F543" s="212">
        <v>5103</v>
      </c>
      <c r="G543" s="212">
        <v>153090</v>
      </c>
      <c r="H543" s="212">
        <v>0</v>
      </c>
      <c r="I543" s="212">
        <v>0</v>
      </c>
      <c r="J543" s="212">
        <v>153090</v>
      </c>
    </row>
    <row r="544" spans="1:10" ht="29.1" customHeight="1" x14ac:dyDescent="0.15">
      <c r="A544" s="221"/>
      <c r="B544" s="221"/>
      <c r="C544" s="222" t="s">
        <v>159</v>
      </c>
      <c r="D544" s="210" t="s">
        <v>79</v>
      </c>
      <c r="E544" s="212">
        <v>50</v>
      </c>
      <c r="F544" s="212">
        <v>28332</v>
      </c>
      <c r="G544" s="212">
        <v>1416600</v>
      </c>
      <c r="H544" s="212">
        <v>1421</v>
      </c>
      <c r="I544" s="212">
        <v>71050</v>
      </c>
      <c r="J544" s="212">
        <v>1345550</v>
      </c>
    </row>
    <row r="545" spans="1:10" ht="14.1" customHeight="1" x14ac:dyDescent="0.15">
      <c r="A545" s="221"/>
      <c r="B545" s="221"/>
      <c r="C545" s="221"/>
      <c r="D545" s="210" t="s">
        <v>73</v>
      </c>
      <c r="E545" s="212">
        <v>1</v>
      </c>
      <c r="F545" s="212">
        <v>14548</v>
      </c>
      <c r="G545" s="212">
        <v>14548</v>
      </c>
      <c r="H545" s="212">
        <v>1421</v>
      </c>
      <c r="I545" s="212">
        <v>1421</v>
      </c>
      <c r="J545" s="212">
        <v>13127</v>
      </c>
    </row>
    <row r="546" spans="1:10" ht="14.1" customHeight="1" x14ac:dyDescent="0.15">
      <c r="A546" s="221"/>
      <c r="B546" s="221"/>
      <c r="C546" s="221"/>
      <c r="D546" s="210" t="s">
        <v>71</v>
      </c>
      <c r="E546" s="212">
        <v>1</v>
      </c>
      <c r="F546" s="212">
        <v>8249</v>
      </c>
      <c r="G546" s="212">
        <v>8249</v>
      </c>
      <c r="H546" s="212">
        <v>1421</v>
      </c>
      <c r="I546" s="212">
        <v>1421</v>
      </c>
      <c r="J546" s="212">
        <v>6828</v>
      </c>
    </row>
    <row r="547" spans="1:10" ht="14.1" customHeight="1" x14ac:dyDescent="0.15">
      <c r="A547" s="221"/>
      <c r="B547" s="221"/>
      <c r="C547" s="221"/>
      <c r="D547" s="210" t="s">
        <v>139</v>
      </c>
      <c r="E547" s="212">
        <v>9</v>
      </c>
      <c r="F547" s="212">
        <v>5518</v>
      </c>
      <c r="G547" s="212">
        <v>49662</v>
      </c>
      <c r="H547" s="212">
        <v>1421</v>
      </c>
      <c r="I547" s="212">
        <v>12789</v>
      </c>
      <c r="J547" s="212">
        <v>36873</v>
      </c>
    </row>
    <row r="548" spans="1:10" ht="29.1" customHeight="1" x14ac:dyDescent="0.15">
      <c r="A548" s="221"/>
      <c r="B548" s="221"/>
      <c r="C548" s="209" t="s">
        <v>160</v>
      </c>
      <c r="D548" s="210" t="s">
        <v>139</v>
      </c>
      <c r="E548" s="212">
        <v>3</v>
      </c>
      <c r="F548" s="212">
        <v>5464</v>
      </c>
      <c r="G548" s="212">
        <v>16392</v>
      </c>
      <c r="H548" s="212">
        <v>1367</v>
      </c>
      <c r="I548" s="212">
        <v>4101</v>
      </c>
      <c r="J548" s="212">
        <v>12291</v>
      </c>
    </row>
    <row r="549" spans="1:10" ht="29.1" customHeight="1" x14ac:dyDescent="0.15">
      <c r="A549" s="221"/>
      <c r="B549" s="221"/>
      <c r="C549" s="222" t="s">
        <v>161</v>
      </c>
      <c r="D549" s="210" t="s">
        <v>101</v>
      </c>
      <c r="E549" s="212">
        <v>2</v>
      </c>
      <c r="F549" s="212">
        <v>45688</v>
      </c>
      <c r="G549" s="212">
        <v>91376</v>
      </c>
      <c r="H549" s="212">
        <v>702</v>
      </c>
      <c r="I549" s="212">
        <v>1404</v>
      </c>
      <c r="J549" s="212">
        <v>89972</v>
      </c>
    </row>
    <row r="550" spans="1:10" ht="14.1" customHeight="1" x14ac:dyDescent="0.15">
      <c r="A550" s="221"/>
      <c r="B550" s="221"/>
      <c r="C550" s="221"/>
      <c r="D550" s="210" t="s">
        <v>79</v>
      </c>
      <c r="E550" s="212">
        <v>626</v>
      </c>
      <c r="F550" s="212">
        <v>27613</v>
      </c>
      <c r="G550" s="212">
        <v>17285738</v>
      </c>
      <c r="H550" s="212">
        <v>702</v>
      </c>
      <c r="I550" s="212">
        <v>439452</v>
      </c>
      <c r="J550" s="212">
        <v>16846286</v>
      </c>
    </row>
    <row r="551" spans="1:10" ht="14.1" customHeight="1" x14ac:dyDescent="0.15">
      <c r="A551" s="221"/>
      <c r="B551" s="221"/>
      <c r="C551" s="221"/>
      <c r="D551" s="210" t="s">
        <v>73</v>
      </c>
      <c r="E551" s="212">
        <v>605</v>
      </c>
      <c r="F551" s="212">
        <v>13829</v>
      </c>
      <c r="G551" s="212">
        <v>8366545</v>
      </c>
      <c r="H551" s="212">
        <v>702</v>
      </c>
      <c r="I551" s="212">
        <v>424710</v>
      </c>
      <c r="J551" s="212">
        <v>7941835</v>
      </c>
    </row>
    <row r="552" spans="1:10" ht="14.1" customHeight="1" x14ac:dyDescent="0.15">
      <c r="A552" s="221"/>
      <c r="B552" s="221"/>
      <c r="C552" s="221"/>
      <c r="D552" s="210" t="s">
        <v>74</v>
      </c>
      <c r="E552" s="212">
        <v>133</v>
      </c>
      <c r="F552" s="212">
        <v>10742</v>
      </c>
      <c r="G552" s="212">
        <v>1428686</v>
      </c>
      <c r="H552" s="212">
        <v>702</v>
      </c>
      <c r="I552" s="212">
        <v>93366</v>
      </c>
      <c r="J552" s="212">
        <v>1335320</v>
      </c>
    </row>
    <row r="553" spans="1:10" ht="14.1" customHeight="1" x14ac:dyDescent="0.15">
      <c r="A553" s="221"/>
      <c r="B553" s="221"/>
      <c r="C553" s="221"/>
      <c r="D553" s="210" t="s">
        <v>71</v>
      </c>
      <c r="E553" s="212">
        <v>124</v>
      </c>
      <c r="F553" s="212">
        <v>7530</v>
      </c>
      <c r="G553" s="212">
        <v>933720</v>
      </c>
      <c r="H553" s="212">
        <v>702</v>
      </c>
      <c r="I553" s="212">
        <v>87048</v>
      </c>
      <c r="J553" s="212">
        <v>846672</v>
      </c>
    </row>
    <row r="554" spans="1:10" ht="14.1" customHeight="1" x14ac:dyDescent="0.15">
      <c r="A554" s="221"/>
      <c r="B554" s="221"/>
      <c r="C554" s="221"/>
      <c r="D554" s="210" t="s">
        <v>72</v>
      </c>
      <c r="E554" s="212">
        <v>3</v>
      </c>
      <c r="F554" s="212">
        <v>4953</v>
      </c>
      <c r="G554" s="212">
        <v>14859</v>
      </c>
      <c r="H554" s="212">
        <v>702</v>
      </c>
      <c r="I554" s="212">
        <v>2106</v>
      </c>
      <c r="J554" s="212">
        <v>12753</v>
      </c>
    </row>
    <row r="555" spans="1:10" ht="14.1" customHeight="1" x14ac:dyDescent="0.15">
      <c r="A555" s="221"/>
      <c r="B555" s="221"/>
      <c r="C555" s="221"/>
      <c r="D555" s="210" t="s">
        <v>82</v>
      </c>
      <c r="E555" s="212">
        <v>38</v>
      </c>
      <c r="F555" s="212">
        <v>3112</v>
      </c>
      <c r="G555" s="212">
        <v>118256</v>
      </c>
      <c r="H555" s="212">
        <v>702</v>
      </c>
      <c r="I555" s="212">
        <v>26676</v>
      </c>
      <c r="J555" s="212">
        <v>91580</v>
      </c>
    </row>
    <row r="556" spans="1:10" ht="14.1" customHeight="1" x14ac:dyDescent="0.15">
      <c r="A556" s="221"/>
      <c r="B556" s="221"/>
      <c r="C556" s="221"/>
      <c r="D556" s="210" t="s">
        <v>75</v>
      </c>
      <c r="E556" s="212">
        <v>17</v>
      </c>
      <c r="F556" s="212">
        <v>1907</v>
      </c>
      <c r="G556" s="212">
        <v>32419</v>
      </c>
      <c r="H556" s="212">
        <v>702</v>
      </c>
      <c r="I556" s="212">
        <v>11934</v>
      </c>
      <c r="J556" s="212">
        <v>20485</v>
      </c>
    </row>
    <row r="557" spans="1:10" ht="14.1" customHeight="1" x14ac:dyDescent="0.15">
      <c r="A557" s="221"/>
      <c r="B557" s="221"/>
      <c r="C557" s="221"/>
      <c r="D557" s="210" t="s">
        <v>139</v>
      </c>
      <c r="E557" s="212">
        <v>190</v>
      </c>
      <c r="F557" s="212">
        <v>4799</v>
      </c>
      <c r="G557" s="212">
        <v>911810</v>
      </c>
      <c r="H557" s="212">
        <v>702</v>
      </c>
      <c r="I557" s="212">
        <v>133380</v>
      </c>
      <c r="J557" s="212">
        <v>778430</v>
      </c>
    </row>
    <row r="558" spans="1:10" ht="14.1" customHeight="1" x14ac:dyDescent="0.15">
      <c r="A558" s="221"/>
      <c r="B558" s="221"/>
      <c r="C558" s="221"/>
      <c r="D558" s="210" t="s">
        <v>140</v>
      </c>
      <c r="E558" s="212">
        <v>19</v>
      </c>
      <c r="F558" s="212">
        <v>5805</v>
      </c>
      <c r="G558" s="212">
        <v>110295</v>
      </c>
      <c r="H558" s="212">
        <v>702</v>
      </c>
      <c r="I558" s="212">
        <v>13338</v>
      </c>
      <c r="J558" s="212">
        <v>96957</v>
      </c>
    </row>
    <row r="559" spans="1:10" ht="14.1" customHeight="1" x14ac:dyDescent="0.15">
      <c r="A559" s="221"/>
      <c r="B559" s="220" t="s">
        <v>168</v>
      </c>
      <c r="C559" s="223" t="s">
        <v>67</v>
      </c>
      <c r="D559" s="210" t="s">
        <v>145</v>
      </c>
      <c r="E559" s="212">
        <v>6</v>
      </c>
      <c r="F559" s="212">
        <v>26911</v>
      </c>
      <c r="G559" s="212">
        <v>161466</v>
      </c>
      <c r="H559" s="212">
        <v>925</v>
      </c>
      <c r="I559" s="212">
        <v>5550</v>
      </c>
      <c r="J559" s="212">
        <v>155916</v>
      </c>
    </row>
    <row r="560" spans="1:10" ht="14.1" customHeight="1" x14ac:dyDescent="0.15">
      <c r="A560" s="221"/>
      <c r="B560" s="221"/>
      <c r="C560" s="221"/>
      <c r="D560" s="210" t="s">
        <v>85</v>
      </c>
      <c r="E560" s="212">
        <v>6</v>
      </c>
      <c r="F560" s="212">
        <v>26911</v>
      </c>
      <c r="G560" s="212">
        <v>161466</v>
      </c>
      <c r="H560" s="212">
        <v>925</v>
      </c>
      <c r="I560" s="212">
        <v>5550</v>
      </c>
      <c r="J560" s="212">
        <v>155916</v>
      </c>
    </row>
    <row r="561" spans="1:10" ht="14.1" customHeight="1" x14ac:dyDescent="0.15">
      <c r="A561" s="221"/>
      <c r="B561" s="221"/>
      <c r="C561" s="221"/>
      <c r="D561" s="210" t="s">
        <v>141</v>
      </c>
      <c r="E561" s="212">
        <v>6</v>
      </c>
      <c r="F561" s="212">
        <v>13127</v>
      </c>
      <c r="G561" s="212">
        <v>78762</v>
      </c>
      <c r="H561" s="212">
        <v>925</v>
      </c>
      <c r="I561" s="212">
        <v>5550</v>
      </c>
      <c r="J561" s="212">
        <v>73212</v>
      </c>
    </row>
    <row r="562" spans="1:10" ht="14.1" customHeight="1" x14ac:dyDescent="0.15">
      <c r="A562" s="221"/>
      <c r="B562" s="221"/>
      <c r="C562" s="221"/>
      <c r="D562" s="210" t="s">
        <v>146</v>
      </c>
      <c r="E562" s="212">
        <v>8</v>
      </c>
      <c r="F562" s="212">
        <v>10040</v>
      </c>
      <c r="G562" s="212">
        <v>80320</v>
      </c>
      <c r="H562" s="212">
        <v>925</v>
      </c>
      <c r="I562" s="212">
        <v>7400</v>
      </c>
      <c r="J562" s="212">
        <v>72920</v>
      </c>
    </row>
    <row r="563" spans="1:10" ht="14.1" customHeight="1" x14ac:dyDescent="0.15">
      <c r="A563" s="221"/>
      <c r="B563" s="221"/>
      <c r="C563" s="221"/>
      <c r="D563" s="210" t="s">
        <v>83</v>
      </c>
      <c r="E563" s="212">
        <v>1</v>
      </c>
      <c r="F563" s="212">
        <v>10040</v>
      </c>
      <c r="G563" s="212">
        <v>10040</v>
      </c>
      <c r="H563" s="212">
        <v>925</v>
      </c>
      <c r="I563" s="212">
        <v>925</v>
      </c>
      <c r="J563" s="212">
        <v>9115</v>
      </c>
    </row>
    <row r="564" spans="1:10" ht="14.1" customHeight="1" x14ac:dyDescent="0.15">
      <c r="A564" s="221"/>
      <c r="B564" s="221"/>
      <c r="C564" s="221"/>
      <c r="D564" s="210" t="s">
        <v>136</v>
      </c>
      <c r="E564" s="212">
        <v>11</v>
      </c>
      <c r="F564" s="212">
        <v>6828</v>
      </c>
      <c r="G564" s="212">
        <v>75108</v>
      </c>
      <c r="H564" s="212">
        <v>925</v>
      </c>
      <c r="I564" s="212">
        <v>10175</v>
      </c>
      <c r="J564" s="212">
        <v>64933</v>
      </c>
    </row>
    <row r="565" spans="1:10" ht="14.1" customHeight="1" x14ac:dyDescent="0.15">
      <c r="A565" s="221"/>
      <c r="B565" s="221"/>
      <c r="C565" s="221"/>
      <c r="D565" s="210" t="s">
        <v>77</v>
      </c>
      <c r="E565" s="212">
        <v>85</v>
      </c>
      <c r="F565" s="212">
        <v>6828</v>
      </c>
      <c r="G565" s="212">
        <v>580380</v>
      </c>
      <c r="H565" s="212">
        <v>925</v>
      </c>
      <c r="I565" s="212">
        <v>78625</v>
      </c>
      <c r="J565" s="212">
        <v>501755</v>
      </c>
    </row>
    <row r="566" spans="1:10" ht="14.1" customHeight="1" x14ac:dyDescent="0.15">
      <c r="A566" s="221"/>
      <c r="B566" s="221"/>
      <c r="C566" s="221"/>
      <c r="D566" s="210" t="s">
        <v>149</v>
      </c>
      <c r="E566" s="212">
        <v>2</v>
      </c>
      <c r="F566" s="212">
        <v>4251</v>
      </c>
      <c r="G566" s="212">
        <v>8502</v>
      </c>
      <c r="H566" s="212">
        <v>925</v>
      </c>
      <c r="I566" s="212">
        <v>1850</v>
      </c>
      <c r="J566" s="212">
        <v>6652</v>
      </c>
    </row>
    <row r="567" spans="1:10" ht="14.1" customHeight="1" x14ac:dyDescent="0.15">
      <c r="A567" s="221"/>
      <c r="B567" s="221"/>
      <c r="C567" s="221"/>
      <c r="D567" s="210" t="s">
        <v>147</v>
      </c>
      <c r="E567" s="212">
        <v>1</v>
      </c>
      <c r="F567" s="212">
        <v>2410</v>
      </c>
      <c r="G567" s="212">
        <v>2410</v>
      </c>
      <c r="H567" s="212">
        <v>925</v>
      </c>
      <c r="I567" s="212">
        <v>925</v>
      </c>
      <c r="J567" s="212">
        <v>1485</v>
      </c>
    </row>
    <row r="568" spans="1:10" ht="14.1" customHeight="1" x14ac:dyDescent="0.15">
      <c r="A568" s="221"/>
      <c r="B568" s="221"/>
      <c r="C568" s="221"/>
      <c r="D568" s="210" t="s">
        <v>148</v>
      </c>
      <c r="E568" s="212">
        <v>1</v>
      </c>
      <c r="F568" s="212">
        <v>1205</v>
      </c>
      <c r="G568" s="212">
        <v>1205</v>
      </c>
      <c r="H568" s="212">
        <v>925</v>
      </c>
      <c r="I568" s="212">
        <v>925</v>
      </c>
      <c r="J568" s="212">
        <v>280</v>
      </c>
    </row>
    <row r="569" spans="1:10" ht="29.1" customHeight="1" x14ac:dyDescent="0.15">
      <c r="A569" s="221"/>
      <c r="B569" s="221"/>
      <c r="C569" s="222" t="s">
        <v>159</v>
      </c>
      <c r="D569" s="210" t="s">
        <v>101</v>
      </c>
      <c r="E569" s="212">
        <v>1</v>
      </c>
      <c r="F569" s="212">
        <v>46407</v>
      </c>
      <c r="G569" s="212">
        <v>46407</v>
      </c>
      <c r="H569" s="212">
        <v>2346</v>
      </c>
      <c r="I569" s="212">
        <v>2346</v>
      </c>
      <c r="J569" s="212">
        <v>44061</v>
      </c>
    </row>
    <row r="570" spans="1:10" ht="14.1" customHeight="1" x14ac:dyDescent="0.15">
      <c r="A570" s="221"/>
      <c r="B570" s="221"/>
      <c r="C570" s="221"/>
      <c r="D570" s="210" t="s">
        <v>74</v>
      </c>
      <c r="E570" s="212">
        <v>1</v>
      </c>
      <c r="F570" s="212">
        <v>11461</v>
      </c>
      <c r="G570" s="212">
        <v>11461</v>
      </c>
      <c r="H570" s="212">
        <v>2346</v>
      </c>
      <c r="I570" s="212">
        <v>2346</v>
      </c>
      <c r="J570" s="212">
        <v>9115</v>
      </c>
    </row>
    <row r="571" spans="1:10" ht="14.1" customHeight="1" x14ac:dyDescent="0.15">
      <c r="A571" s="221"/>
      <c r="B571" s="221"/>
      <c r="C571" s="221"/>
      <c r="D571" s="210" t="s">
        <v>71</v>
      </c>
      <c r="E571" s="212">
        <v>5</v>
      </c>
      <c r="F571" s="212">
        <v>8249</v>
      </c>
      <c r="G571" s="212">
        <v>41245</v>
      </c>
      <c r="H571" s="212">
        <v>2346</v>
      </c>
      <c r="I571" s="212">
        <v>11730</v>
      </c>
      <c r="J571" s="212">
        <v>29515</v>
      </c>
    </row>
    <row r="572" spans="1:10" ht="29.1" customHeight="1" x14ac:dyDescent="0.15">
      <c r="A572" s="221"/>
      <c r="B572" s="221"/>
      <c r="C572" s="222" t="s">
        <v>161</v>
      </c>
      <c r="D572" s="210" t="s">
        <v>88</v>
      </c>
      <c r="E572" s="212">
        <v>1</v>
      </c>
      <c r="F572" s="212">
        <v>61914</v>
      </c>
      <c r="G572" s="212">
        <v>61914</v>
      </c>
      <c r="H572" s="212">
        <v>1627</v>
      </c>
      <c r="I572" s="212">
        <v>1627</v>
      </c>
      <c r="J572" s="212">
        <v>60287</v>
      </c>
    </row>
    <row r="573" spans="1:10" ht="14.1" customHeight="1" x14ac:dyDescent="0.15">
      <c r="A573" s="221"/>
      <c r="B573" s="221"/>
      <c r="C573" s="221"/>
      <c r="D573" s="210" t="s">
        <v>101</v>
      </c>
      <c r="E573" s="212">
        <v>118</v>
      </c>
      <c r="F573" s="212">
        <v>45688</v>
      </c>
      <c r="G573" s="212">
        <v>5391184</v>
      </c>
      <c r="H573" s="212">
        <v>1627</v>
      </c>
      <c r="I573" s="212">
        <v>191986</v>
      </c>
      <c r="J573" s="212">
        <v>5199198</v>
      </c>
    </row>
    <row r="574" spans="1:10" ht="14.1" customHeight="1" x14ac:dyDescent="0.15">
      <c r="A574" s="221"/>
      <c r="B574" s="221"/>
      <c r="C574" s="221"/>
      <c r="D574" s="210" t="s">
        <v>79</v>
      </c>
      <c r="E574" s="212">
        <v>868</v>
      </c>
      <c r="F574" s="212">
        <v>27613</v>
      </c>
      <c r="G574" s="212">
        <v>23968084</v>
      </c>
      <c r="H574" s="212">
        <v>1627</v>
      </c>
      <c r="I574" s="212">
        <v>1412236</v>
      </c>
      <c r="J574" s="212">
        <v>22555848</v>
      </c>
    </row>
    <row r="575" spans="1:10" ht="14.1" customHeight="1" x14ac:dyDescent="0.15">
      <c r="A575" s="221"/>
      <c r="B575" s="221"/>
      <c r="C575" s="221"/>
      <c r="D575" s="210" t="s">
        <v>73</v>
      </c>
      <c r="E575" s="212">
        <v>602</v>
      </c>
      <c r="F575" s="212">
        <v>13829</v>
      </c>
      <c r="G575" s="212">
        <v>8325058</v>
      </c>
      <c r="H575" s="212">
        <v>1627</v>
      </c>
      <c r="I575" s="212">
        <v>979454</v>
      </c>
      <c r="J575" s="212">
        <v>7345604</v>
      </c>
    </row>
    <row r="576" spans="1:10" ht="14.1" customHeight="1" x14ac:dyDescent="0.15">
      <c r="A576" s="221"/>
      <c r="B576" s="221"/>
      <c r="C576" s="221"/>
      <c r="D576" s="210" t="s">
        <v>74</v>
      </c>
      <c r="E576" s="212">
        <v>1271</v>
      </c>
      <c r="F576" s="212">
        <v>10742</v>
      </c>
      <c r="G576" s="212">
        <v>13653082</v>
      </c>
      <c r="H576" s="212">
        <v>1627</v>
      </c>
      <c r="I576" s="212">
        <v>2067917</v>
      </c>
      <c r="J576" s="212">
        <v>11585165</v>
      </c>
    </row>
    <row r="577" spans="1:10" ht="14.1" customHeight="1" x14ac:dyDescent="0.15">
      <c r="A577" s="221"/>
      <c r="B577" s="221"/>
      <c r="C577" s="221"/>
      <c r="D577" s="210" t="s">
        <v>71</v>
      </c>
      <c r="E577" s="212">
        <v>1965</v>
      </c>
      <c r="F577" s="212">
        <v>7530</v>
      </c>
      <c r="G577" s="212">
        <v>14797169</v>
      </c>
      <c r="H577" s="212">
        <v>1627</v>
      </c>
      <c r="I577" s="212">
        <v>3197055</v>
      </c>
      <c r="J577" s="212">
        <v>11600114</v>
      </c>
    </row>
    <row r="578" spans="1:10" ht="14.1" customHeight="1" x14ac:dyDescent="0.15">
      <c r="A578" s="221"/>
      <c r="B578" s="221"/>
      <c r="C578" s="221"/>
      <c r="D578" s="210" t="s">
        <v>72</v>
      </c>
      <c r="E578" s="212">
        <v>125</v>
      </c>
      <c r="F578" s="212">
        <v>4953</v>
      </c>
      <c r="G578" s="212">
        <v>619125</v>
      </c>
      <c r="H578" s="212">
        <v>1627</v>
      </c>
      <c r="I578" s="212">
        <v>203375</v>
      </c>
      <c r="J578" s="212">
        <v>415750</v>
      </c>
    </row>
    <row r="579" spans="1:10" ht="14.1" customHeight="1" x14ac:dyDescent="0.15">
      <c r="A579" s="221"/>
      <c r="B579" s="221"/>
      <c r="C579" s="221"/>
      <c r="D579" s="210" t="s">
        <v>82</v>
      </c>
      <c r="E579" s="212">
        <v>124</v>
      </c>
      <c r="F579" s="212">
        <v>3112</v>
      </c>
      <c r="G579" s="212">
        <v>385888</v>
      </c>
      <c r="H579" s="212">
        <v>1627</v>
      </c>
      <c r="I579" s="212">
        <v>201748</v>
      </c>
      <c r="J579" s="212">
        <v>184140</v>
      </c>
    </row>
    <row r="580" spans="1:10" ht="14.1" customHeight="1" x14ac:dyDescent="0.15">
      <c r="A580" s="221"/>
      <c r="B580" s="221"/>
      <c r="C580" s="221"/>
      <c r="D580" s="210" t="s">
        <v>75</v>
      </c>
      <c r="E580" s="212">
        <v>177</v>
      </c>
      <c r="F580" s="212">
        <v>1907</v>
      </c>
      <c r="G580" s="212">
        <v>337539</v>
      </c>
      <c r="H580" s="212">
        <v>1627</v>
      </c>
      <c r="I580" s="212">
        <v>287979</v>
      </c>
      <c r="J580" s="212">
        <v>49560</v>
      </c>
    </row>
    <row r="581" spans="1:10" ht="14.1" customHeight="1" x14ac:dyDescent="0.15">
      <c r="A581" s="221" t="s">
        <v>5</v>
      </c>
      <c r="B581" s="221" t="s">
        <v>53</v>
      </c>
      <c r="C581" s="221"/>
      <c r="D581" s="221"/>
      <c r="E581" s="212">
        <v>10802</v>
      </c>
      <c r="F581" s="212">
        <v>701311</v>
      </c>
      <c r="G581" s="212">
        <v>142309276</v>
      </c>
      <c r="H581" s="212"/>
      <c r="I581" s="212">
        <v>12177047</v>
      </c>
      <c r="J581" s="212">
        <v>130132229</v>
      </c>
    </row>
    <row r="582" spans="1:10" ht="14.1" customHeight="1" x14ac:dyDescent="0.15">
      <c r="A582" s="221"/>
      <c r="B582" s="210" t="s">
        <v>63</v>
      </c>
      <c r="C582" s="210" t="s">
        <v>64</v>
      </c>
      <c r="D582" s="210" t="s">
        <v>65</v>
      </c>
      <c r="E582" s="218">
        <v>8</v>
      </c>
      <c r="F582" s="218">
        <v>10139</v>
      </c>
      <c r="G582" s="218">
        <v>81112</v>
      </c>
      <c r="H582" s="218">
        <v>0</v>
      </c>
      <c r="I582" s="218">
        <v>0</v>
      </c>
      <c r="J582" s="218">
        <v>81112</v>
      </c>
    </row>
    <row r="583" spans="1:10" ht="14.1" customHeight="1" x14ac:dyDescent="0.15">
      <c r="A583" s="221"/>
      <c r="B583" s="220" t="s">
        <v>66</v>
      </c>
      <c r="C583" s="223" t="s">
        <v>67</v>
      </c>
      <c r="D583" s="210" t="s">
        <v>134</v>
      </c>
      <c r="E583" s="219"/>
      <c r="F583" s="219"/>
      <c r="G583" s="219"/>
      <c r="H583" s="219"/>
      <c r="I583" s="219"/>
      <c r="J583" s="219"/>
    </row>
    <row r="584" spans="1:10" ht="14.1" customHeight="1" x14ac:dyDescent="0.15">
      <c r="A584" s="221"/>
      <c r="B584" s="221"/>
      <c r="C584" s="221"/>
      <c r="D584" s="210" t="s">
        <v>132</v>
      </c>
      <c r="E584" s="212">
        <v>47</v>
      </c>
      <c r="F584" s="212">
        <v>10139</v>
      </c>
      <c r="G584" s="212">
        <v>476533</v>
      </c>
      <c r="H584" s="212">
        <v>0</v>
      </c>
      <c r="I584" s="212">
        <v>0</v>
      </c>
      <c r="J584" s="212">
        <v>476533</v>
      </c>
    </row>
    <row r="585" spans="1:10" ht="29.1" customHeight="1" x14ac:dyDescent="0.15">
      <c r="A585" s="221"/>
      <c r="B585" s="221"/>
      <c r="C585" s="209" t="s">
        <v>159</v>
      </c>
      <c r="D585" s="210" t="s">
        <v>133</v>
      </c>
      <c r="E585" s="212">
        <v>13</v>
      </c>
      <c r="F585" s="212">
        <v>11560</v>
      </c>
      <c r="G585" s="212">
        <v>150280</v>
      </c>
      <c r="H585" s="212">
        <v>2346</v>
      </c>
      <c r="I585" s="212">
        <v>30498</v>
      </c>
      <c r="J585" s="212">
        <v>119782</v>
      </c>
    </row>
    <row r="586" spans="1:10" ht="29.1" customHeight="1" x14ac:dyDescent="0.15">
      <c r="A586" s="221"/>
      <c r="B586" s="221"/>
      <c r="C586" s="209" t="s">
        <v>161</v>
      </c>
      <c r="D586" s="210" t="s">
        <v>133</v>
      </c>
      <c r="E586" s="212">
        <v>672</v>
      </c>
      <c r="F586" s="212">
        <v>10841</v>
      </c>
      <c r="G586" s="212">
        <v>7285152</v>
      </c>
      <c r="H586" s="212">
        <v>1627</v>
      </c>
      <c r="I586" s="212">
        <v>1093344</v>
      </c>
      <c r="J586" s="212">
        <v>6191808</v>
      </c>
    </row>
    <row r="587" spans="1:10" ht="42.95" customHeight="1" x14ac:dyDescent="0.15">
      <c r="A587" s="221"/>
      <c r="B587" s="222" t="s">
        <v>215</v>
      </c>
      <c r="C587" s="223" t="s">
        <v>67</v>
      </c>
      <c r="D587" s="210" t="s">
        <v>145</v>
      </c>
      <c r="E587" s="212">
        <v>1</v>
      </c>
      <c r="F587" s="212">
        <v>26911</v>
      </c>
      <c r="G587" s="212">
        <v>26911</v>
      </c>
      <c r="H587" s="212">
        <v>0</v>
      </c>
      <c r="I587" s="212">
        <v>0</v>
      </c>
      <c r="J587" s="212">
        <v>26911</v>
      </c>
    </row>
    <row r="588" spans="1:10" ht="14.1" customHeight="1" x14ac:dyDescent="0.15">
      <c r="A588" s="221"/>
      <c r="B588" s="221"/>
      <c r="C588" s="221"/>
      <c r="D588" s="210" t="s">
        <v>85</v>
      </c>
      <c r="E588" s="212">
        <v>4</v>
      </c>
      <c r="F588" s="212">
        <v>26911</v>
      </c>
      <c r="G588" s="212">
        <v>107644</v>
      </c>
      <c r="H588" s="212">
        <v>0</v>
      </c>
      <c r="I588" s="212">
        <v>0</v>
      </c>
      <c r="J588" s="212">
        <v>107644</v>
      </c>
    </row>
    <row r="589" spans="1:10" ht="14.1" customHeight="1" x14ac:dyDescent="0.15">
      <c r="A589" s="221"/>
      <c r="B589" s="221"/>
      <c r="C589" s="221"/>
      <c r="D589" s="210" t="s">
        <v>141</v>
      </c>
      <c r="E589" s="212">
        <v>9</v>
      </c>
      <c r="F589" s="212">
        <v>13127</v>
      </c>
      <c r="G589" s="212">
        <v>118143</v>
      </c>
      <c r="H589" s="212">
        <v>0</v>
      </c>
      <c r="I589" s="212">
        <v>0</v>
      </c>
      <c r="J589" s="212">
        <v>118143</v>
      </c>
    </row>
    <row r="590" spans="1:10" ht="14.1" customHeight="1" x14ac:dyDescent="0.15">
      <c r="A590" s="221"/>
      <c r="B590" s="221"/>
      <c r="C590" s="221"/>
      <c r="D590" s="210" t="s">
        <v>78</v>
      </c>
      <c r="E590" s="212">
        <v>3</v>
      </c>
      <c r="F590" s="212">
        <v>13127</v>
      </c>
      <c r="G590" s="212">
        <v>39381</v>
      </c>
      <c r="H590" s="212">
        <v>0</v>
      </c>
      <c r="I590" s="212">
        <v>0</v>
      </c>
      <c r="J590" s="212">
        <v>39381</v>
      </c>
    </row>
    <row r="591" spans="1:10" ht="14.1" customHeight="1" x14ac:dyDescent="0.15">
      <c r="A591" s="221"/>
      <c r="B591" s="221"/>
      <c r="C591" s="221"/>
      <c r="D591" s="210" t="s">
        <v>83</v>
      </c>
      <c r="E591" s="212">
        <v>2</v>
      </c>
      <c r="F591" s="212">
        <v>10040</v>
      </c>
      <c r="G591" s="212">
        <v>20080</v>
      </c>
      <c r="H591" s="212">
        <v>0</v>
      </c>
      <c r="I591" s="212">
        <v>0</v>
      </c>
      <c r="J591" s="212">
        <v>20080</v>
      </c>
    </row>
    <row r="592" spans="1:10" ht="14.1" customHeight="1" x14ac:dyDescent="0.15">
      <c r="A592" s="221"/>
      <c r="B592" s="221"/>
      <c r="C592" s="221"/>
      <c r="D592" s="210" t="s">
        <v>136</v>
      </c>
      <c r="E592" s="212">
        <v>1</v>
      </c>
      <c r="F592" s="212">
        <v>6828</v>
      </c>
      <c r="G592" s="212">
        <v>6828</v>
      </c>
      <c r="H592" s="212">
        <v>0</v>
      </c>
      <c r="I592" s="212">
        <v>0</v>
      </c>
      <c r="J592" s="212">
        <v>6828</v>
      </c>
    </row>
    <row r="593" spans="1:10" ht="14.1" customHeight="1" x14ac:dyDescent="0.15">
      <c r="A593" s="221"/>
      <c r="B593" s="221"/>
      <c r="C593" s="221"/>
      <c r="D593" s="210" t="s">
        <v>77</v>
      </c>
      <c r="E593" s="212">
        <v>2</v>
      </c>
      <c r="F593" s="212">
        <v>6828</v>
      </c>
      <c r="G593" s="212">
        <v>13656</v>
      </c>
      <c r="H593" s="212">
        <v>0</v>
      </c>
      <c r="I593" s="212">
        <v>0</v>
      </c>
      <c r="J593" s="212">
        <v>13656</v>
      </c>
    </row>
    <row r="594" spans="1:10" ht="14.1" customHeight="1" x14ac:dyDescent="0.15">
      <c r="A594" s="221"/>
      <c r="B594" s="221"/>
      <c r="C594" s="221"/>
      <c r="D594" s="210" t="s">
        <v>89</v>
      </c>
      <c r="E594" s="212">
        <v>1</v>
      </c>
      <c r="F594" s="212">
        <v>1205</v>
      </c>
      <c r="G594" s="212">
        <v>1205</v>
      </c>
      <c r="H594" s="212">
        <v>0</v>
      </c>
      <c r="I594" s="212">
        <v>0</v>
      </c>
      <c r="J594" s="212">
        <v>1205</v>
      </c>
    </row>
    <row r="595" spans="1:10" ht="14.1" customHeight="1" x14ac:dyDescent="0.15">
      <c r="A595" s="221"/>
      <c r="B595" s="221"/>
      <c r="C595" s="221"/>
      <c r="D595" s="210" t="s">
        <v>137</v>
      </c>
      <c r="E595" s="212">
        <v>1</v>
      </c>
      <c r="F595" s="212">
        <v>4097</v>
      </c>
      <c r="G595" s="212">
        <v>4097</v>
      </c>
      <c r="H595" s="212">
        <v>0</v>
      </c>
      <c r="I595" s="212">
        <v>0</v>
      </c>
      <c r="J595" s="212">
        <v>4097</v>
      </c>
    </row>
    <row r="596" spans="1:10" ht="14.1" customHeight="1" x14ac:dyDescent="0.15">
      <c r="A596" s="221"/>
      <c r="B596" s="221"/>
      <c r="C596" s="221"/>
      <c r="D596" s="210" t="s">
        <v>143</v>
      </c>
      <c r="E596" s="212">
        <v>19</v>
      </c>
      <c r="F596" s="212">
        <v>5103</v>
      </c>
      <c r="G596" s="212">
        <v>96957</v>
      </c>
      <c r="H596" s="212">
        <v>0</v>
      </c>
      <c r="I596" s="212">
        <v>0</v>
      </c>
      <c r="J596" s="212">
        <v>96957</v>
      </c>
    </row>
    <row r="597" spans="1:10" ht="14.1" customHeight="1" x14ac:dyDescent="0.15">
      <c r="A597" s="221"/>
      <c r="B597" s="221"/>
      <c r="C597" s="221"/>
      <c r="D597" s="210" t="s">
        <v>138</v>
      </c>
      <c r="E597" s="212">
        <v>33</v>
      </c>
      <c r="F597" s="212">
        <v>5103</v>
      </c>
      <c r="G597" s="212">
        <v>168399</v>
      </c>
      <c r="H597" s="212">
        <v>0</v>
      </c>
      <c r="I597" s="212">
        <v>0</v>
      </c>
      <c r="J597" s="212">
        <v>168399</v>
      </c>
    </row>
    <row r="598" spans="1:10" ht="29.1" customHeight="1" x14ac:dyDescent="0.15">
      <c r="A598" s="221"/>
      <c r="B598" s="221"/>
      <c r="C598" s="222" t="s">
        <v>159</v>
      </c>
      <c r="D598" s="210" t="s">
        <v>70</v>
      </c>
      <c r="E598" s="212">
        <v>1</v>
      </c>
      <c r="F598" s="212">
        <v>3986</v>
      </c>
      <c r="G598" s="212">
        <v>3986</v>
      </c>
      <c r="H598" s="212">
        <v>1421</v>
      </c>
      <c r="I598" s="212">
        <v>1421</v>
      </c>
      <c r="J598" s="212">
        <v>2565</v>
      </c>
    </row>
    <row r="599" spans="1:10" ht="14.1" customHeight="1" x14ac:dyDescent="0.15">
      <c r="A599" s="221"/>
      <c r="B599" s="221"/>
      <c r="C599" s="221"/>
      <c r="D599" s="210" t="s">
        <v>79</v>
      </c>
      <c r="E599" s="212">
        <v>7</v>
      </c>
      <c r="F599" s="212">
        <v>28332</v>
      </c>
      <c r="G599" s="212">
        <v>198324</v>
      </c>
      <c r="H599" s="212">
        <v>1421</v>
      </c>
      <c r="I599" s="212">
        <v>9947</v>
      </c>
      <c r="J599" s="212">
        <v>188377</v>
      </c>
    </row>
    <row r="600" spans="1:10" ht="14.1" customHeight="1" x14ac:dyDescent="0.15">
      <c r="A600" s="221"/>
      <c r="B600" s="221"/>
      <c r="C600" s="221"/>
      <c r="D600" s="210" t="s">
        <v>73</v>
      </c>
      <c r="E600" s="212">
        <v>5</v>
      </c>
      <c r="F600" s="212">
        <v>14548</v>
      </c>
      <c r="G600" s="212">
        <v>72740</v>
      </c>
      <c r="H600" s="212">
        <v>1421</v>
      </c>
      <c r="I600" s="212">
        <v>7105</v>
      </c>
      <c r="J600" s="212">
        <v>65635</v>
      </c>
    </row>
    <row r="601" spans="1:10" ht="14.1" customHeight="1" x14ac:dyDescent="0.15">
      <c r="A601" s="221"/>
      <c r="B601" s="221"/>
      <c r="C601" s="221"/>
      <c r="D601" s="210" t="s">
        <v>74</v>
      </c>
      <c r="E601" s="212">
        <v>1</v>
      </c>
      <c r="F601" s="212">
        <v>11461</v>
      </c>
      <c r="G601" s="212">
        <v>11461</v>
      </c>
      <c r="H601" s="212">
        <v>1421</v>
      </c>
      <c r="I601" s="212">
        <v>1421</v>
      </c>
      <c r="J601" s="212">
        <v>10040</v>
      </c>
    </row>
    <row r="602" spans="1:10" ht="14.1" customHeight="1" x14ac:dyDescent="0.15">
      <c r="A602" s="221"/>
      <c r="B602" s="221"/>
      <c r="C602" s="221"/>
      <c r="D602" s="210" t="s">
        <v>71</v>
      </c>
      <c r="E602" s="212">
        <v>4</v>
      </c>
      <c r="F602" s="212">
        <v>8249</v>
      </c>
      <c r="G602" s="212">
        <v>32996</v>
      </c>
      <c r="H602" s="212">
        <v>1421</v>
      </c>
      <c r="I602" s="212">
        <v>5684</v>
      </c>
      <c r="J602" s="212">
        <v>27312</v>
      </c>
    </row>
    <row r="603" spans="1:10" ht="14.1" customHeight="1" x14ac:dyDescent="0.15">
      <c r="A603" s="221"/>
      <c r="B603" s="221"/>
      <c r="C603" s="221"/>
      <c r="D603" s="210" t="s">
        <v>139</v>
      </c>
      <c r="E603" s="212">
        <v>5</v>
      </c>
      <c r="F603" s="212">
        <v>5518</v>
      </c>
      <c r="G603" s="212">
        <v>27590</v>
      </c>
      <c r="H603" s="212">
        <v>1421</v>
      </c>
      <c r="I603" s="212">
        <v>7105</v>
      </c>
      <c r="J603" s="212">
        <v>20485</v>
      </c>
    </row>
    <row r="604" spans="1:10" ht="14.1" customHeight="1" x14ac:dyDescent="0.15">
      <c r="A604" s="221"/>
      <c r="B604" s="221"/>
      <c r="C604" s="221"/>
      <c r="D604" s="210" t="s">
        <v>140</v>
      </c>
      <c r="E604" s="212">
        <v>2</v>
      </c>
      <c r="F604" s="212">
        <v>6524</v>
      </c>
      <c r="G604" s="212">
        <v>13048</v>
      </c>
      <c r="H604" s="212">
        <v>1421</v>
      </c>
      <c r="I604" s="212">
        <v>2842</v>
      </c>
      <c r="J604" s="212">
        <v>10206</v>
      </c>
    </row>
    <row r="605" spans="1:10" ht="29.1" customHeight="1" x14ac:dyDescent="0.15">
      <c r="A605" s="221"/>
      <c r="B605" s="221"/>
      <c r="C605" s="209" t="s">
        <v>160</v>
      </c>
      <c r="D605" s="210" t="s">
        <v>139</v>
      </c>
      <c r="E605" s="212">
        <v>18</v>
      </c>
      <c r="F605" s="212">
        <v>5242</v>
      </c>
      <c r="G605" s="212">
        <v>94362</v>
      </c>
      <c r="H605" s="212">
        <v>1367</v>
      </c>
      <c r="I605" s="212">
        <v>24606</v>
      </c>
      <c r="J605" s="212">
        <v>69756</v>
      </c>
    </row>
    <row r="606" spans="1:10" ht="29.1" customHeight="1" x14ac:dyDescent="0.15">
      <c r="A606" s="221"/>
      <c r="B606" s="221"/>
      <c r="C606" s="222" t="s">
        <v>161</v>
      </c>
      <c r="D606" s="210" t="s">
        <v>70</v>
      </c>
      <c r="E606" s="212">
        <v>1</v>
      </c>
      <c r="F606" s="212">
        <v>3267</v>
      </c>
      <c r="G606" s="212">
        <v>3267</v>
      </c>
      <c r="H606" s="212">
        <v>702</v>
      </c>
      <c r="I606" s="212">
        <v>702</v>
      </c>
      <c r="J606" s="212">
        <v>2565</v>
      </c>
    </row>
    <row r="607" spans="1:10" ht="14.1" customHeight="1" x14ac:dyDescent="0.15">
      <c r="A607" s="221"/>
      <c r="B607" s="221"/>
      <c r="C607" s="221"/>
      <c r="D607" s="210" t="s">
        <v>101</v>
      </c>
      <c r="E607" s="212">
        <v>3</v>
      </c>
      <c r="F607" s="212">
        <v>45688</v>
      </c>
      <c r="G607" s="212">
        <v>137064</v>
      </c>
      <c r="H607" s="212">
        <v>702</v>
      </c>
      <c r="I607" s="212">
        <v>2106</v>
      </c>
      <c r="J607" s="212">
        <v>134958</v>
      </c>
    </row>
    <row r="608" spans="1:10" ht="14.1" customHeight="1" x14ac:dyDescent="0.15">
      <c r="A608" s="221"/>
      <c r="B608" s="221"/>
      <c r="C608" s="221"/>
      <c r="D608" s="210" t="s">
        <v>79</v>
      </c>
      <c r="E608" s="212">
        <v>721</v>
      </c>
      <c r="F608" s="212">
        <v>27614</v>
      </c>
      <c r="G608" s="212">
        <v>19909692</v>
      </c>
      <c r="H608" s="212">
        <v>702</v>
      </c>
      <c r="I608" s="212">
        <v>506142</v>
      </c>
      <c r="J608" s="212">
        <v>19403550</v>
      </c>
    </row>
    <row r="609" spans="1:10" ht="14.1" customHeight="1" x14ac:dyDescent="0.15">
      <c r="A609" s="221"/>
      <c r="B609" s="221"/>
      <c r="C609" s="221"/>
      <c r="D609" s="210" t="s">
        <v>73</v>
      </c>
      <c r="E609" s="212">
        <v>2037</v>
      </c>
      <c r="F609" s="212">
        <v>13829</v>
      </c>
      <c r="G609" s="212">
        <v>28170392</v>
      </c>
      <c r="H609" s="212">
        <v>702</v>
      </c>
      <c r="I609" s="212">
        <v>1429974</v>
      </c>
      <c r="J609" s="212">
        <v>26740418</v>
      </c>
    </row>
    <row r="610" spans="1:10" ht="14.1" customHeight="1" x14ac:dyDescent="0.15">
      <c r="A610" s="221"/>
      <c r="B610" s="221"/>
      <c r="C610" s="221"/>
      <c r="D610" s="210" t="s">
        <v>74</v>
      </c>
      <c r="E610" s="212">
        <v>604</v>
      </c>
      <c r="F610" s="212">
        <v>10742</v>
      </c>
      <c r="G610" s="212">
        <v>6488168</v>
      </c>
      <c r="H610" s="212">
        <v>702</v>
      </c>
      <c r="I610" s="212">
        <v>424008</v>
      </c>
      <c r="J610" s="212">
        <v>6064160</v>
      </c>
    </row>
    <row r="611" spans="1:10" ht="14.1" customHeight="1" x14ac:dyDescent="0.15">
      <c r="A611" s="221"/>
      <c r="B611" s="221"/>
      <c r="C611" s="221"/>
      <c r="D611" s="210" t="s">
        <v>71</v>
      </c>
      <c r="E611" s="212">
        <v>403</v>
      </c>
      <c r="F611" s="212">
        <v>7530</v>
      </c>
      <c r="G611" s="212">
        <v>3034590</v>
      </c>
      <c r="H611" s="212">
        <v>702</v>
      </c>
      <c r="I611" s="212">
        <v>282906</v>
      </c>
      <c r="J611" s="212">
        <v>2751684</v>
      </c>
    </row>
    <row r="612" spans="1:10" ht="14.1" customHeight="1" x14ac:dyDescent="0.15">
      <c r="A612" s="221"/>
      <c r="B612" s="221"/>
      <c r="C612" s="221"/>
      <c r="D612" s="210" t="s">
        <v>82</v>
      </c>
      <c r="E612" s="212">
        <v>12</v>
      </c>
      <c r="F612" s="212">
        <v>3112</v>
      </c>
      <c r="G612" s="212">
        <v>37344</v>
      </c>
      <c r="H612" s="212">
        <v>702</v>
      </c>
      <c r="I612" s="212">
        <v>8424</v>
      </c>
      <c r="J612" s="212">
        <v>28920</v>
      </c>
    </row>
    <row r="613" spans="1:10" ht="14.1" customHeight="1" x14ac:dyDescent="0.15">
      <c r="A613" s="221"/>
      <c r="B613" s="221"/>
      <c r="C613" s="221"/>
      <c r="D613" s="210" t="s">
        <v>75</v>
      </c>
      <c r="E613" s="212">
        <v>13</v>
      </c>
      <c r="F613" s="212">
        <v>1907</v>
      </c>
      <c r="G613" s="212">
        <v>24791</v>
      </c>
      <c r="H613" s="212">
        <v>702</v>
      </c>
      <c r="I613" s="212">
        <v>9126</v>
      </c>
      <c r="J613" s="212">
        <v>15665</v>
      </c>
    </row>
    <row r="614" spans="1:10" ht="14.1" customHeight="1" x14ac:dyDescent="0.15">
      <c r="A614" s="221"/>
      <c r="B614" s="221"/>
      <c r="C614" s="221"/>
      <c r="D614" s="210" t="s">
        <v>69</v>
      </c>
      <c r="E614" s="212">
        <v>20</v>
      </c>
      <c r="F614" s="212">
        <v>24895</v>
      </c>
      <c r="G614" s="212">
        <v>497900</v>
      </c>
      <c r="H614" s="212">
        <v>702</v>
      </c>
      <c r="I614" s="212">
        <v>14040</v>
      </c>
      <c r="J614" s="212">
        <v>483860</v>
      </c>
    </row>
    <row r="615" spans="1:10" ht="14.1" customHeight="1" x14ac:dyDescent="0.15">
      <c r="A615" s="221"/>
      <c r="B615" s="221"/>
      <c r="C615" s="221"/>
      <c r="D615" s="210" t="s">
        <v>139</v>
      </c>
      <c r="E615" s="212">
        <v>507</v>
      </c>
      <c r="F615" s="212">
        <v>4799</v>
      </c>
      <c r="G615" s="212">
        <v>2433093</v>
      </c>
      <c r="H615" s="212">
        <v>702</v>
      </c>
      <c r="I615" s="212">
        <v>355914</v>
      </c>
      <c r="J615" s="212">
        <v>2077179</v>
      </c>
    </row>
    <row r="616" spans="1:10" ht="14.1" customHeight="1" x14ac:dyDescent="0.15">
      <c r="A616" s="221"/>
      <c r="B616" s="221"/>
      <c r="C616" s="221"/>
      <c r="D616" s="210" t="s">
        <v>140</v>
      </c>
      <c r="E616" s="212">
        <v>1255</v>
      </c>
      <c r="F616" s="212">
        <v>5805</v>
      </c>
      <c r="G616" s="212">
        <v>7285275</v>
      </c>
      <c r="H616" s="212">
        <v>702</v>
      </c>
      <c r="I616" s="212">
        <v>881010</v>
      </c>
      <c r="J616" s="212">
        <v>6404265</v>
      </c>
    </row>
    <row r="617" spans="1:10" ht="14.1" customHeight="1" x14ac:dyDescent="0.15">
      <c r="A617" s="221"/>
      <c r="B617" s="220" t="s">
        <v>168</v>
      </c>
      <c r="C617" s="223" t="s">
        <v>67</v>
      </c>
      <c r="D617" s="210" t="s">
        <v>145</v>
      </c>
      <c r="E617" s="212">
        <v>4</v>
      </c>
      <c r="F617" s="212">
        <v>26911</v>
      </c>
      <c r="G617" s="212">
        <v>107644</v>
      </c>
      <c r="H617" s="212">
        <v>925</v>
      </c>
      <c r="I617" s="212">
        <v>3700</v>
      </c>
      <c r="J617" s="212">
        <v>103944</v>
      </c>
    </row>
    <row r="618" spans="1:10" ht="14.1" customHeight="1" x14ac:dyDescent="0.15">
      <c r="A618" s="221"/>
      <c r="B618" s="221"/>
      <c r="C618" s="221"/>
      <c r="D618" s="210" t="s">
        <v>85</v>
      </c>
      <c r="E618" s="212">
        <v>10</v>
      </c>
      <c r="F618" s="212">
        <v>26911</v>
      </c>
      <c r="G618" s="212">
        <v>269110</v>
      </c>
      <c r="H618" s="212">
        <v>925</v>
      </c>
      <c r="I618" s="212">
        <v>9250</v>
      </c>
      <c r="J618" s="212">
        <v>259860</v>
      </c>
    </row>
    <row r="619" spans="1:10" ht="14.1" customHeight="1" x14ac:dyDescent="0.15">
      <c r="A619" s="221"/>
      <c r="B619" s="221"/>
      <c r="C619" s="221"/>
      <c r="D619" s="210" t="s">
        <v>141</v>
      </c>
      <c r="E619" s="212">
        <v>4</v>
      </c>
      <c r="F619" s="212">
        <v>13127</v>
      </c>
      <c r="G619" s="212">
        <v>52508</v>
      </c>
      <c r="H619" s="212">
        <v>925</v>
      </c>
      <c r="I619" s="212">
        <v>3700</v>
      </c>
      <c r="J619" s="212">
        <v>48808</v>
      </c>
    </row>
    <row r="620" spans="1:10" ht="14.1" customHeight="1" x14ac:dyDescent="0.15">
      <c r="A620" s="221"/>
      <c r="B620" s="221"/>
      <c r="C620" s="221"/>
      <c r="D620" s="210" t="s">
        <v>78</v>
      </c>
      <c r="E620" s="212">
        <v>3</v>
      </c>
      <c r="F620" s="212">
        <v>13127</v>
      </c>
      <c r="G620" s="212">
        <v>39381</v>
      </c>
      <c r="H620" s="212">
        <v>925</v>
      </c>
      <c r="I620" s="212">
        <v>2775</v>
      </c>
      <c r="J620" s="212">
        <v>36606</v>
      </c>
    </row>
    <row r="621" spans="1:10" ht="14.1" customHeight="1" x14ac:dyDescent="0.15">
      <c r="A621" s="221"/>
      <c r="B621" s="221"/>
      <c r="C621" s="221"/>
      <c r="D621" s="210" t="s">
        <v>146</v>
      </c>
      <c r="E621" s="212">
        <v>4</v>
      </c>
      <c r="F621" s="212">
        <v>10040</v>
      </c>
      <c r="G621" s="212">
        <v>40160</v>
      </c>
      <c r="H621" s="212">
        <v>925</v>
      </c>
      <c r="I621" s="212">
        <v>3700</v>
      </c>
      <c r="J621" s="212">
        <v>36460</v>
      </c>
    </row>
    <row r="622" spans="1:10" ht="14.1" customHeight="1" x14ac:dyDescent="0.15">
      <c r="A622" s="221"/>
      <c r="B622" s="221"/>
      <c r="C622" s="221"/>
      <c r="D622" s="210" t="s">
        <v>83</v>
      </c>
      <c r="E622" s="212">
        <v>4</v>
      </c>
      <c r="F622" s="212">
        <v>10040</v>
      </c>
      <c r="G622" s="212">
        <v>40160</v>
      </c>
      <c r="H622" s="212">
        <v>925</v>
      </c>
      <c r="I622" s="212">
        <v>3700</v>
      </c>
      <c r="J622" s="212">
        <v>36460</v>
      </c>
    </row>
    <row r="623" spans="1:10" ht="14.1" customHeight="1" x14ac:dyDescent="0.15">
      <c r="A623" s="221"/>
      <c r="B623" s="221"/>
      <c r="C623" s="221"/>
      <c r="D623" s="210" t="s">
        <v>136</v>
      </c>
      <c r="E623" s="212">
        <v>9</v>
      </c>
      <c r="F623" s="212">
        <v>6828</v>
      </c>
      <c r="G623" s="212">
        <v>61452</v>
      </c>
      <c r="H623" s="212">
        <v>925</v>
      </c>
      <c r="I623" s="212">
        <v>8325</v>
      </c>
      <c r="J623" s="212">
        <v>53127</v>
      </c>
    </row>
    <row r="624" spans="1:10" ht="14.1" customHeight="1" x14ac:dyDescent="0.15">
      <c r="A624" s="221"/>
      <c r="B624" s="221"/>
      <c r="C624" s="221"/>
      <c r="D624" s="210" t="s">
        <v>77</v>
      </c>
      <c r="E624" s="212">
        <v>9</v>
      </c>
      <c r="F624" s="212">
        <v>6828</v>
      </c>
      <c r="G624" s="212">
        <v>61452</v>
      </c>
      <c r="H624" s="212">
        <v>925</v>
      </c>
      <c r="I624" s="212">
        <v>8325</v>
      </c>
      <c r="J624" s="212">
        <v>53127</v>
      </c>
    </row>
    <row r="625" spans="1:10" ht="14.1" customHeight="1" x14ac:dyDescent="0.15">
      <c r="A625" s="221"/>
      <c r="B625" s="221"/>
      <c r="C625" s="221"/>
      <c r="D625" s="210" t="s">
        <v>149</v>
      </c>
      <c r="E625" s="212">
        <v>1</v>
      </c>
      <c r="F625" s="212">
        <v>4251</v>
      </c>
      <c r="G625" s="212">
        <v>4251</v>
      </c>
      <c r="H625" s="212">
        <v>925</v>
      </c>
      <c r="I625" s="212">
        <v>925</v>
      </c>
      <c r="J625" s="212">
        <v>3326</v>
      </c>
    </row>
    <row r="626" spans="1:10" ht="14.1" customHeight="1" x14ac:dyDescent="0.15">
      <c r="A626" s="221"/>
      <c r="B626" s="221"/>
      <c r="C626" s="221"/>
      <c r="D626" s="210" t="s">
        <v>86</v>
      </c>
      <c r="E626" s="212">
        <v>2</v>
      </c>
      <c r="F626" s="212">
        <v>4251</v>
      </c>
      <c r="G626" s="212">
        <v>8502</v>
      </c>
      <c r="H626" s="212">
        <v>925</v>
      </c>
      <c r="I626" s="212">
        <v>1850</v>
      </c>
      <c r="J626" s="212">
        <v>6652</v>
      </c>
    </row>
    <row r="627" spans="1:10" ht="14.1" customHeight="1" x14ac:dyDescent="0.15">
      <c r="A627" s="221"/>
      <c r="B627" s="221"/>
      <c r="C627" s="221"/>
      <c r="D627" s="210" t="s">
        <v>147</v>
      </c>
      <c r="E627" s="212">
        <v>1</v>
      </c>
      <c r="F627" s="212">
        <v>2410</v>
      </c>
      <c r="G627" s="212">
        <v>2410</v>
      </c>
      <c r="H627" s="212">
        <v>925</v>
      </c>
      <c r="I627" s="212">
        <v>925</v>
      </c>
      <c r="J627" s="212">
        <v>1485</v>
      </c>
    </row>
    <row r="628" spans="1:10" ht="14.1" customHeight="1" x14ac:dyDescent="0.15">
      <c r="A628" s="221"/>
      <c r="B628" s="221"/>
      <c r="C628" s="221"/>
      <c r="D628" s="210" t="s">
        <v>84</v>
      </c>
      <c r="E628" s="212">
        <v>3</v>
      </c>
      <c r="F628" s="212">
        <v>2410</v>
      </c>
      <c r="G628" s="212">
        <v>7230</v>
      </c>
      <c r="H628" s="212">
        <v>925</v>
      </c>
      <c r="I628" s="212">
        <v>2775</v>
      </c>
      <c r="J628" s="212">
        <v>4455</v>
      </c>
    </row>
    <row r="629" spans="1:10" ht="14.1" customHeight="1" x14ac:dyDescent="0.15">
      <c r="A629" s="221"/>
      <c r="B629" s="221"/>
      <c r="C629" s="221"/>
      <c r="D629" s="210" t="s">
        <v>89</v>
      </c>
      <c r="E629" s="212">
        <v>1</v>
      </c>
      <c r="F629" s="212">
        <v>1205</v>
      </c>
      <c r="G629" s="212">
        <v>1205</v>
      </c>
      <c r="H629" s="212">
        <v>925</v>
      </c>
      <c r="I629" s="212">
        <v>925</v>
      </c>
      <c r="J629" s="212">
        <v>280</v>
      </c>
    </row>
    <row r="630" spans="1:10" ht="29.1" customHeight="1" x14ac:dyDescent="0.15">
      <c r="A630" s="221"/>
      <c r="B630" s="221"/>
      <c r="C630" s="222" t="s">
        <v>159</v>
      </c>
      <c r="D630" s="210" t="s">
        <v>79</v>
      </c>
      <c r="E630" s="212">
        <v>3</v>
      </c>
      <c r="F630" s="212">
        <v>28332</v>
      </c>
      <c r="G630" s="212">
        <v>84996</v>
      </c>
      <c r="H630" s="212">
        <v>2346</v>
      </c>
      <c r="I630" s="212">
        <v>7038</v>
      </c>
      <c r="J630" s="212">
        <v>77958</v>
      </c>
    </row>
    <row r="631" spans="1:10" ht="14.1" customHeight="1" x14ac:dyDescent="0.15">
      <c r="A631" s="221"/>
      <c r="B631" s="221"/>
      <c r="C631" s="221"/>
      <c r="D631" s="210" t="s">
        <v>73</v>
      </c>
      <c r="E631" s="212">
        <v>1</v>
      </c>
      <c r="F631" s="212">
        <v>14548</v>
      </c>
      <c r="G631" s="212">
        <v>14548</v>
      </c>
      <c r="H631" s="212">
        <v>2346</v>
      </c>
      <c r="I631" s="212">
        <v>2346</v>
      </c>
      <c r="J631" s="212">
        <v>12202</v>
      </c>
    </row>
    <row r="632" spans="1:10" ht="14.1" customHeight="1" x14ac:dyDescent="0.15">
      <c r="A632" s="221"/>
      <c r="B632" s="221"/>
      <c r="C632" s="221"/>
      <c r="D632" s="210" t="s">
        <v>74</v>
      </c>
      <c r="E632" s="212">
        <v>4</v>
      </c>
      <c r="F632" s="212">
        <v>11461</v>
      </c>
      <c r="G632" s="212">
        <v>45844</v>
      </c>
      <c r="H632" s="212">
        <v>2346</v>
      </c>
      <c r="I632" s="212">
        <v>9384</v>
      </c>
      <c r="J632" s="212">
        <v>36460</v>
      </c>
    </row>
    <row r="633" spans="1:10" ht="14.1" customHeight="1" x14ac:dyDescent="0.15">
      <c r="A633" s="221"/>
      <c r="B633" s="221"/>
      <c r="C633" s="221"/>
      <c r="D633" s="210" t="s">
        <v>71</v>
      </c>
      <c r="E633" s="212">
        <v>9</v>
      </c>
      <c r="F633" s="212">
        <v>8249</v>
      </c>
      <c r="G633" s="212">
        <v>74241</v>
      </c>
      <c r="H633" s="212">
        <v>2346</v>
      </c>
      <c r="I633" s="212">
        <v>21114</v>
      </c>
      <c r="J633" s="212">
        <v>53127</v>
      </c>
    </row>
    <row r="634" spans="1:10" ht="29.1" customHeight="1" x14ac:dyDescent="0.15">
      <c r="A634" s="221"/>
      <c r="B634" s="221"/>
      <c r="C634" s="222" t="s">
        <v>161</v>
      </c>
      <c r="D634" s="210" t="s">
        <v>101</v>
      </c>
      <c r="E634" s="212">
        <v>20</v>
      </c>
      <c r="F634" s="212">
        <v>45688</v>
      </c>
      <c r="G634" s="212">
        <v>913760</v>
      </c>
      <c r="H634" s="212">
        <v>1627</v>
      </c>
      <c r="I634" s="212">
        <v>32540</v>
      </c>
      <c r="J634" s="212">
        <v>881220</v>
      </c>
    </row>
    <row r="635" spans="1:10" ht="14.1" customHeight="1" x14ac:dyDescent="0.15">
      <c r="A635" s="221"/>
      <c r="B635" s="221"/>
      <c r="C635" s="221"/>
      <c r="D635" s="210" t="s">
        <v>79</v>
      </c>
      <c r="E635" s="212">
        <v>1355</v>
      </c>
      <c r="F635" s="212">
        <v>27613</v>
      </c>
      <c r="G635" s="212">
        <v>37415615</v>
      </c>
      <c r="H635" s="212">
        <v>1627</v>
      </c>
      <c r="I635" s="212">
        <v>2204585</v>
      </c>
      <c r="J635" s="212">
        <v>35211030</v>
      </c>
    </row>
    <row r="636" spans="1:10" ht="14.1" customHeight="1" x14ac:dyDescent="0.15">
      <c r="A636" s="221"/>
      <c r="B636" s="221"/>
      <c r="C636" s="221"/>
      <c r="D636" s="210" t="s">
        <v>73</v>
      </c>
      <c r="E636" s="212">
        <v>418</v>
      </c>
      <c r="F636" s="212">
        <v>13829</v>
      </c>
      <c r="G636" s="212">
        <v>5780522</v>
      </c>
      <c r="H636" s="212">
        <v>1627</v>
      </c>
      <c r="I636" s="212">
        <v>680086</v>
      </c>
      <c r="J636" s="212">
        <v>5100436</v>
      </c>
    </row>
    <row r="637" spans="1:10" ht="14.1" customHeight="1" x14ac:dyDescent="0.15">
      <c r="A637" s="221"/>
      <c r="B637" s="221"/>
      <c r="C637" s="221"/>
      <c r="D637" s="210" t="s">
        <v>74</v>
      </c>
      <c r="E637" s="212">
        <v>842</v>
      </c>
      <c r="F637" s="212">
        <v>10742</v>
      </c>
      <c r="G637" s="212">
        <v>9044764</v>
      </c>
      <c r="H637" s="212">
        <v>1627</v>
      </c>
      <c r="I637" s="212">
        <v>1369934</v>
      </c>
      <c r="J637" s="212">
        <v>7674830</v>
      </c>
    </row>
    <row r="638" spans="1:10" ht="14.1" customHeight="1" x14ac:dyDescent="0.15">
      <c r="A638" s="221"/>
      <c r="B638" s="221"/>
      <c r="C638" s="221"/>
      <c r="D638" s="210" t="s">
        <v>71</v>
      </c>
      <c r="E638" s="212">
        <v>1390</v>
      </c>
      <c r="F638" s="212">
        <v>7530</v>
      </c>
      <c r="G638" s="212">
        <v>10466700</v>
      </c>
      <c r="H638" s="212">
        <v>1627</v>
      </c>
      <c r="I638" s="212">
        <v>2261530</v>
      </c>
      <c r="J638" s="212">
        <v>8205170</v>
      </c>
    </row>
    <row r="639" spans="1:10" ht="14.1" customHeight="1" x14ac:dyDescent="0.15">
      <c r="A639" s="221"/>
      <c r="B639" s="221"/>
      <c r="C639" s="221"/>
      <c r="D639" s="210" t="s">
        <v>72</v>
      </c>
      <c r="E639" s="212">
        <v>15</v>
      </c>
      <c r="F639" s="212">
        <v>4953</v>
      </c>
      <c r="G639" s="212">
        <v>74295</v>
      </c>
      <c r="H639" s="212">
        <v>1627</v>
      </c>
      <c r="I639" s="212">
        <v>24405</v>
      </c>
      <c r="J639" s="212">
        <v>49890</v>
      </c>
    </row>
    <row r="640" spans="1:10" ht="14.1" customHeight="1" x14ac:dyDescent="0.15">
      <c r="A640" s="221"/>
      <c r="B640" s="221"/>
      <c r="C640" s="221"/>
      <c r="D640" s="210" t="s">
        <v>82</v>
      </c>
      <c r="E640" s="212">
        <v>116</v>
      </c>
      <c r="F640" s="212">
        <v>3112</v>
      </c>
      <c r="G640" s="212">
        <v>360992</v>
      </c>
      <c r="H640" s="212">
        <v>1627</v>
      </c>
      <c r="I640" s="212">
        <v>188732</v>
      </c>
      <c r="J640" s="212">
        <v>172260</v>
      </c>
    </row>
    <row r="641" spans="1:10" ht="14.1" customHeight="1" x14ac:dyDescent="0.15">
      <c r="A641" s="221"/>
      <c r="B641" s="221"/>
      <c r="C641" s="221"/>
      <c r="D641" s="210" t="s">
        <v>75</v>
      </c>
      <c r="E641" s="212">
        <v>139</v>
      </c>
      <c r="F641" s="212">
        <v>1907</v>
      </c>
      <c r="G641" s="212">
        <v>265073</v>
      </c>
      <c r="H641" s="212">
        <v>1627</v>
      </c>
      <c r="I641" s="212">
        <v>226153</v>
      </c>
      <c r="J641" s="212">
        <v>38920</v>
      </c>
    </row>
    <row r="642" spans="1:10" ht="14.1" customHeight="1" x14ac:dyDescent="0.15">
      <c r="A642" s="221" t="s">
        <v>156</v>
      </c>
      <c r="B642" s="221" t="s">
        <v>53</v>
      </c>
      <c r="C642" s="221"/>
      <c r="D642" s="221"/>
      <c r="E642" s="212">
        <v>1107</v>
      </c>
      <c r="F642" s="212">
        <v>113651</v>
      </c>
      <c r="G642" s="212">
        <v>20357676</v>
      </c>
      <c r="H642" s="212"/>
      <c r="I642" s="212">
        <v>778552</v>
      </c>
      <c r="J642" s="212">
        <v>19579124</v>
      </c>
    </row>
    <row r="643" spans="1:10" ht="14.1" customHeight="1" x14ac:dyDescent="0.15">
      <c r="A643" s="221"/>
      <c r="B643" s="210" t="s">
        <v>63</v>
      </c>
      <c r="C643" s="210" t="s">
        <v>64</v>
      </c>
      <c r="D643" s="210" t="s">
        <v>65</v>
      </c>
      <c r="E643" s="218">
        <v>2</v>
      </c>
      <c r="F643" s="218">
        <v>8249</v>
      </c>
      <c r="G643" s="218">
        <v>16498</v>
      </c>
      <c r="H643" s="218">
        <v>1421</v>
      </c>
      <c r="I643" s="218">
        <v>2842</v>
      </c>
      <c r="J643" s="218">
        <v>13656</v>
      </c>
    </row>
    <row r="644" spans="1:10" ht="42.95" customHeight="1" x14ac:dyDescent="0.15">
      <c r="A644" s="221"/>
      <c r="B644" s="222" t="s">
        <v>215</v>
      </c>
      <c r="C644" s="209" t="s">
        <v>159</v>
      </c>
      <c r="D644" s="210" t="s">
        <v>71</v>
      </c>
      <c r="E644" s="219"/>
      <c r="F644" s="219"/>
      <c r="G644" s="219"/>
      <c r="H644" s="219"/>
      <c r="I644" s="219"/>
      <c r="J644" s="219"/>
    </row>
    <row r="645" spans="1:10" ht="29.1" customHeight="1" x14ac:dyDescent="0.15">
      <c r="A645" s="221"/>
      <c r="B645" s="221"/>
      <c r="C645" s="222" t="s">
        <v>161</v>
      </c>
      <c r="D645" s="210" t="s">
        <v>101</v>
      </c>
      <c r="E645" s="212">
        <v>4</v>
      </c>
      <c r="F645" s="212">
        <v>45688</v>
      </c>
      <c r="G645" s="212">
        <v>182752</v>
      </c>
      <c r="H645" s="212">
        <v>702</v>
      </c>
      <c r="I645" s="212">
        <v>2808</v>
      </c>
      <c r="J645" s="212">
        <v>179944</v>
      </c>
    </row>
    <row r="646" spans="1:10" ht="14.1" customHeight="1" x14ac:dyDescent="0.15">
      <c r="A646" s="221"/>
      <c r="B646" s="221"/>
      <c r="C646" s="221"/>
      <c r="D646" s="210" t="s">
        <v>79</v>
      </c>
      <c r="E646" s="212">
        <v>406</v>
      </c>
      <c r="F646" s="212">
        <v>27613</v>
      </c>
      <c r="G646" s="212">
        <v>11210878</v>
      </c>
      <c r="H646" s="212">
        <v>702</v>
      </c>
      <c r="I646" s="212">
        <v>285012</v>
      </c>
      <c r="J646" s="212">
        <v>10925866</v>
      </c>
    </row>
    <row r="647" spans="1:10" ht="14.1" customHeight="1" x14ac:dyDescent="0.15">
      <c r="A647" s="221"/>
      <c r="B647" s="221"/>
      <c r="C647" s="221"/>
      <c r="D647" s="210" t="s">
        <v>73</v>
      </c>
      <c r="E647" s="212">
        <v>582</v>
      </c>
      <c r="F647" s="212">
        <v>13829</v>
      </c>
      <c r="G647" s="212">
        <v>8048478</v>
      </c>
      <c r="H647" s="212">
        <v>702</v>
      </c>
      <c r="I647" s="212">
        <v>408564</v>
      </c>
      <c r="J647" s="212">
        <v>7639914</v>
      </c>
    </row>
    <row r="648" spans="1:10" ht="14.1" customHeight="1" x14ac:dyDescent="0.15">
      <c r="A648" s="221"/>
      <c r="B648" s="221"/>
      <c r="C648" s="221"/>
      <c r="D648" s="210" t="s">
        <v>74</v>
      </c>
      <c r="E648" s="212">
        <v>15</v>
      </c>
      <c r="F648" s="212">
        <v>10742</v>
      </c>
      <c r="G648" s="212">
        <v>161130</v>
      </c>
      <c r="H648" s="212">
        <v>702</v>
      </c>
      <c r="I648" s="212">
        <v>10530</v>
      </c>
      <c r="J648" s="212">
        <v>150600</v>
      </c>
    </row>
    <row r="649" spans="1:10" ht="14.1" customHeight="1" x14ac:dyDescent="0.15">
      <c r="A649" s="221"/>
      <c r="B649" s="221"/>
      <c r="C649" s="221"/>
      <c r="D649" s="210" t="s">
        <v>71</v>
      </c>
      <c r="E649" s="212">
        <v>98</v>
      </c>
      <c r="F649" s="212">
        <v>7530</v>
      </c>
      <c r="G649" s="212">
        <v>737940</v>
      </c>
      <c r="H649" s="212">
        <v>702</v>
      </c>
      <c r="I649" s="212">
        <v>68796</v>
      </c>
      <c r="J649" s="212">
        <v>669144</v>
      </c>
    </row>
    <row r="650" spans="1:10" ht="29.1" customHeight="1" x14ac:dyDescent="0.15">
      <c r="A650" s="222" t="s">
        <v>217</v>
      </c>
      <c r="B650" s="221" t="s">
        <v>53</v>
      </c>
      <c r="C650" s="221"/>
      <c r="D650" s="221"/>
      <c r="E650" s="212">
        <v>1719</v>
      </c>
      <c r="F650" s="212">
        <v>257406</v>
      </c>
      <c r="G650" s="212">
        <v>26133150</v>
      </c>
      <c r="H650" s="212"/>
      <c r="I650" s="212">
        <v>1501675</v>
      </c>
      <c r="J650" s="212">
        <v>24631475</v>
      </c>
    </row>
    <row r="651" spans="1:10" ht="14.1" customHeight="1" x14ac:dyDescent="0.15">
      <c r="A651" s="221"/>
      <c r="B651" s="210" t="s">
        <v>63</v>
      </c>
      <c r="C651" s="210" t="s">
        <v>64</v>
      </c>
      <c r="D651" s="210" t="s">
        <v>65</v>
      </c>
      <c r="E651" s="218">
        <v>83</v>
      </c>
      <c r="F651" s="218">
        <v>10841</v>
      </c>
      <c r="G651" s="218">
        <v>899803</v>
      </c>
      <c r="H651" s="218">
        <v>1627</v>
      </c>
      <c r="I651" s="218">
        <v>135041</v>
      </c>
      <c r="J651" s="218">
        <v>764762</v>
      </c>
    </row>
    <row r="652" spans="1:10" ht="29.1" customHeight="1" x14ac:dyDescent="0.15">
      <c r="A652" s="221"/>
      <c r="B652" s="213" t="s">
        <v>66</v>
      </c>
      <c r="C652" s="209" t="s">
        <v>161</v>
      </c>
      <c r="D652" s="210" t="s">
        <v>133</v>
      </c>
      <c r="E652" s="219"/>
      <c r="F652" s="219"/>
      <c r="G652" s="219"/>
      <c r="H652" s="219"/>
      <c r="I652" s="219"/>
      <c r="J652" s="219"/>
    </row>
    <row r="653" spans="1:10" ht="42.95" customHeight="1" x14ac:dyDescent="0.15">
      <c r="A653" s="221"/>
      <c r="B653" s="222" t="s">
        <v>215</v>
      </c>
      <c r="C653" s="223" t="s">
        <v>67</v>
      </c>
      <c r="D653" s="210" t="s">
        <v>141</v>
      </c>
      <c r="E653" s="212">
        <v>1</v>
      </c>
      <c r="F653" s="212">
        <v>13127</v>
      </c>
      <c r="G653" s="212">
        <v>13127</v>
      </c>
      <c r="H653" s="212">
        <v>0</v>
      </c>
      <c r="I653" s="212">
        <v>0</v>
      </c>
      <c r="J653" s="212">
        <v>13127</v>
      </c>
    </row>
    <row r="654" spans="1:10" ht="14.1" customHeight="1" x14ac:dyDescent="0.15">
      <c r="A654" s="221"/>
      <c r="B654" s="221"/>
      <c r="C654" s="221"/>
      <c r="D654" s="210" t="s">
        <v>146</v>
      </c>
      <c r="E654" s="212">
        <v>1</v>
      </c>
      <c r="F654" s="212">
        <v>10040</v>
      </c>
      <c r="G654" s="212">
        <v>10040</v>
      </c>
      <c r="H654" s="212">
        <v>0</v>
      </c>
      <c r="I654" s="212">
        <v>0</v>
      </c>
      <c r="J654" s="212">
        <v>10040</v>
      </c>
    </row>
    <row r="655" spans="1:10" ht="29.1" customHeight="1" x14ac:dyDescent="0.15">
      <c r="A655" s="221"/>
      <c r="B655" s="221"/>
      <c r="C655" s="222" t="s">
        <v>159</v>
      </c>
      <c r="D655" s="210" t="s">
        <v>71</v>
      </c>
      <c r="E655" s="212">
        <v>1</v>
      </c>
      <c r="F655" s="212">
        <v>8249</v>
      </c>
      <c r="G655" s="212">
        <v>8249</v>
      </c>
      <c r="H655" s="212">
        <v>1421</v>
      </c>
      <c r="I655" s="212">
        <v>1421</v>
      </c>
      <c r="J655" s="212">
        <v>6828</v>
      </c>
    </row>
    <row r="656" spans="1:10" ht="14.1" customHeight="1" x14ac:dyDescent="0.15">
      <c r="A656" s="221"/>
      <c r="B656" s="221"/>
      <c r="C656" s="221"/>
      <c r="D656" s="210" t="s">
        <v>69</v>
      </c>
      <c r="E656" s="212">
        <v>2</v>
      </c>
      <c r="F656" s="212">
        <v>25614</v>
      </c>
      <c r="G656" s="212">
        <v>51228</v>
      </c>
      <c r="H656" s="212">
        <v>1421</v>
      </c>
      <c r="I656" s="212">
        <v>2842</v>
      </c>
      <c r="J656" s="212">
        <v>48386</v>
      </c>
    </row>
    <row r="657" spans="1:10" ht="29.1" customHeight="1" x14ac:dyDescent="0.15">
      <c r="A657" s="221"/>
      <c r="B657" s="221"/>
      <c r="C657" s="222" t="s">
        <v>161</v>
      </c>
      <c r="D657" s="210" t="s">
        <v>79</v>
      </c>
      <c r="E657" s="212">
        <v>268</v>
      </c>
      <c r="F657" s="212">
        <v>27613</v>
      </c>
      <c r="G657" s="212">
        <v>7400284</v>
      </c>
      <c r="H657" s="212">
        <v>702</v>
      </c>
      <c r="I657" s="212">
        <v>188136</v>
      </c>
      <c r="J657" s="212">
        <v>7212148</v>
      </c>
    </row>
    <row r="658" spans="1:10" ht="14.1" customHeight="1" x14ac:dyDescent="0.15">
      <c r="A658" s="221"/>
      <c r="B658" s="221"/>
      <c r="C658" s="221"/>
      <c r="D658" s="210" t="s">
        <v>73</v>
      </c>
      <c r="E658" s="212">
        <v>821</v>
      </c>
      <c r="F658" s="212">
        <v>13829</v>
      </c>
      <c r="G658" s="212">
        <v>11353609</v>
      </c>
      <c r="H658" s="212">
        <v>702</v>
      </c>
      <c r="I658" s="212">
        <v>576342</v>
      </c>
      <c r="J658" s="212">
        <v>10777267</v>
      </c>
    </row>
    <row r="659" spans="1:10" ht="14.1" customHeight="1" x14ac:dyDescent="0.15">
      <c r="A659" s="221"/>
      <c r="B659" s="221"/>
      <c r="C659" s="221"/>
      <c r="D659" s="210" t="s">
        <v>74</v>
      </c>
      <c r="E659" s="212">
        <v>15</v>
      </c>
      <c r="F659" s="212">
        <v>10742</v>
      </c>
      <c r="G659" s="212">
        <v>161130</v>
      </c>
      <c r="H659" s="212">
        <v>702</v>
      </c>
      <c r="I659" s="212">
        <v>10530</v>
      </c>
      <c r="J659" s="212">
        <v>150600</v>
      </c>
    </row>
    <row r="660" spans="1:10" ht="14.1" customHeight="1" x14ac:dyDescent="0.15">
      <c r="A660" s="221"/>
      <c r="B660" s="221"/>
      <c r="C660" s="221"/>
      <c r="D660" s="210" t="s">
        <v>71</v>
      </c>
      <c r="E660" s="212">
        <v>269</v>
      </c>
      <c r="F660" s="212">
        <v>7530</v>
      </c>
      <c r="G660" s="212">
        <v>2025570</v>
      </c>
      <c r="H660" s="212">
        <v>702</v>
      </c>
      <c r="I660" s="212">
        <v>188838</v>
      </c>
      <c r="J660" s="212">
        <v>1836732</v>
      </c>
    </row>
    <row r="661" spans="1:10" ht="14.1" customHeight="1" x14ac:dyDescent="0.15">
      <c r="A661" s="221"/>
      <c r="B661" s="221"/>
      <c r="C661" s="221"/>
      <c r="D661" s="210" t="s">
        <v>75</v>
      </c>
      <c r="E661" s="212">
        <v>3</v>
      </c>
      <c r="F661" s="212">
        <v>1907</v>
      </c>
      <c r="G661" s="212">
        <v>5721</v>
      </c>
      <c r="H661" s="212">
        <v>702</v>
      </c>
      <c r="I661" s="212">
        <v>2106</v>
      </c>
      <c r="J661" s="212">
        <v>3615</v>
      </c>
    </row>
    <row r="662" spans="1:10" ht="14.1" customHeight="1" x14ac:dyDescent="0.15">
      <c r="A662" s="221"/>
      <c r="B662" s="221"/>
      <c r="C662" s="221"/>
      <c r="D662" s="210" t="s">
        <v>69</v>
      </c>
      <c r="E662" s="212">
        <v>11</v>
      </c>
      <c r="F662" s="212">
        <v>24895</v>
      </c>
      <c r="G662" s="212">
        <v>273845</v>
      </c>
      <c r="H662" s="212">
        <v>702</v>
      </c>
      <c r="I662" s="212">
        <v>7722</v>
      </c>
      <c r="J662" s="212">
        <v>266123</v>
      </c>
    </row>
    <row r="663" spans="1:10" ht="14.1" customHeight="1" x14ac:dyDescent="0.15">
      <c r="A663" s="221"/>
      <c r="B663" s="221"/>
      <c r="C663" s="221"/>
      <c r="D663" s="210" t="s">
        <v>140</v>
      </c>
      <c r="E663" s="212">
        <v>9</v>
      </c>
      <c r="F663" s="212">
        <v>5805</v>
      </c>
      <c r="G663" s="212">
        <v>52245</v>
      </c>
      <c r="H663" s="212">
        <v>702</v>
      </c>
      <c r="I663" s="212">
        <v>6318</v>
      </c>
      <c r="J663" s="212">
        <v>45927</v>
      </c>
    </row>
    <row r="664" spans="1:10" ht="14.1" customHeight="1" x14ac:dyDescent="0.15">
      <c r="A664" s="221"/>
      <c r="B664" s="220" t="s">
        <v>168</v>
      </c>
      <c r="C664" s="223" t="s">
        <v>67</v>
      </c>
      <c r="D664" s="210" t="s">
        <v>85</v>
      </c>
      <c r="E664" s="212">
        <v>1</v>
      </c>
      <c r="F664" s="212">
        <v>26911</v>
      </c>
      <c r="G664" s="212">
        <v>26911</v>
      </c>
      <c r="H664" s="212">
        <v>925</v>
      </c>
      <c r="I664" s="212">
        <v>925</v>
      </c>
      <c r="J664" s="212">
        <v>25986</v>
      </c>
    </row>
    <row r="665" spans="1:10" ht="14.1" customHeight="1" x14ac:dyDescent="0.15">
      <c r="A665" s="221"/>
      <c r="B665" s="221"/>
      <c r="C665" s="221"/>
      <c r="D665" s="210" t="s">
        <v>77</v>
      </c>
      <c r="E665" s="212">
        <v>1</v>
      </c>
      <c r="F665" s="212">
        <v>6828</v>
      </c>
      <c r="G665" s="212">
        <v>6828</v>
      </c>
      <c r="H665" s="212">
        <v>925</v>
      </c>
      <c r="I665" s="212">
        <v>925</v>
      </c>
      <c r="J665" s="212">
        <v>5903</v>
      </c>
    </row>
    <row r="666" spans="1:10" ht="29.1" customHeight="1" x14ac:dyDescent="0.15">
      <c r="A666" s="221"/>
      <c r="B666" s="221"/>
      <c r="C666" s="209" t="s">
        <v>159</v>
      </c>
      <c r="D666" s="210" t="s">
        <v>79</v>
      </c>
      <c r="E666" s="212">
        <v>2</v>
      </c>
      <c r="F666" s="212">
        <v>28332</v>
      </c>
      <c r="G666" s="212">
        <v>56664</v>
      </c>
      <c r="H666" s="212">
        <v>2346</v>
      </c>
      <c r="I666" s="212">
        <v>4692</v>
      </c>
      <c r="J666" s="212">
        <v>51972</v>
      </c>
    </row>
    <row r="667" spans="1:10" ht="29.1" customHeight="1" x14ac:dyDescent="0.15">
      <c r="A667" s="221"/>
      <c r="B667" s="221"/>
      <c r="C667" s="222" t="s">
        <v>161</v>
      </c>
      <c r="D667" s="210" t="s">
        <v>79</v>
      </c>
      <c r="E667" s="212">
        <v>102</v>
      </c>
      <c r="F667" s="212">
        <v>27613</v>
      </c>
      <c r="G667" s="212">
        <v>2816526</v>
      </c>
      <c r="H667" s="212">
        <v>1627</v>
      </c>
      <c r="I667" s="212">
        <v>165954</v>
      </c>
      <c r="J667" s="212">
        <v>2650572</v>
      </c>
    </row>
    <row r="668" spans="1:10" ht="14.1" customHeight="1" x14ac:dyDescent="0.15">
      <c r="A668" s="221"/>
      <c r="B668" s="221"/>
      <c r="C668" s="221"/>
      <c r="D668" s="210" t="s">
        <v>71</v>
      </c>
      <c r="E668" s="212">
        <v>129</v>
      </c>
      <c r="F668" s="212">
        <v>7530</v>
      </c>
      <c r="G668" s="212">
        <v>971370</v>
      </c>
      <c r="H668" s="212">
        <v>1627</v>
      </c>
      <c r="I668" s="212">
        <v>209883</v>
      </c>
      <c r="J668" s="212">
        <v>761487</v>
      </c>
    </row>
    <row r="669" spans="1:10" ht="29.1" customHeight="1" x14ac:dyDescent="0.15">
      <c r="A669" s="222" t="s">
        <v>115</v>
      </c>
      <c r="B669" s="221" t="s">
        <v>53</v>
      </c>
      <c r="C669" s="221"/>
      <c r="D669" s="221"/>
      <c r="E669" s="212">
        <v>4022</v>
      </c>
      <c r="F669" s="212">
        <v>387214</v>
      </c>
      <c r="G669" s="212">
        <v>46690051</v>
      </c>
      <c r="H669" s="212"/>
      <c r="I669" s="212">
        <v>3877489</v>
      </c>
      <c r="J669" s="212">
        <v>42812562</v>
      </c>
    </row>
    <row r="670" spans="1:10" ht="14.1" customHeight="1" x14ac:dyDescent="0.15">
      <c r="A670" s="221"/>
      <c r="B670" s="210" t="s">
        <v>63</v>
      </c>
      <c r="C670" s="210" t="s">
        <v>64</v>
      </c>
      <c r="D670" s="210" t="s">
        <v>65</v>
      </c>
      <c r="E670" s="218">
        <v>1</v>
      </c>
      <c r="F670" s="218">
        <v>10139</v>
      </c>
      <c r="G670" s="218">
        <v>10139</v>
      </c>
      <c r="H670" s="218">
        <v>0</v>
      </c>
      <c r="I670" s="218">
        <v>0</v>
      </c>
      <c r="J670" s="218">
        <v>10139</v>
      </c>
    </row>
    <row r="671" spans="1:10" ht="14.1" customHeight="1" x14ac:dyDescent="0.15">
      <c r="A671" s="221"/>
      <c r="B671" s="220" t="s">
        <v>66</v>
      </c>
      <c r="C671" s="223" t="s">
        <v>67</v>
      </c>
      <c r="D671" s="210" t="s">
        <v>134</v>
      </c>
      <c r="E671" s="219"/>
      <c r="F671" s="219"/>
      <c r="G671" s="219"/>
      <c r="H671" s="219"/>
      <c r="I671" s="219"/>
      <c r="J671" s="219"/>
    </row>
    <row r="672" spans="1:10" ht="14.1" customHeight="1" x14ac:dyDescent="0.15">
      <c r="A672" s="221"/>
      <c r="B672" s="221"/>
      <c r="C672" s="221"/>
      <c r="D672" s="210" t="s">
        <v>132</v>
      </c>
      <c r="E672" s="212">
        <v>1</v>
      </c>
      <c r="F672" s="212">
        <v>10139</v>
      </c>
      <c r="G672" s="212">
        <v>10139</v>
      </c>
      <c r="H672" s="212">
        <v>0</v>
      </c>
      <c r="I672" s="212">
        <v>0</v>
      </c>
      <c r="J672" s="212">
        <v>10139</v>
      </c>
    </row>
    <row r="673" spans="1:10" ht="29.1" customHeight="1" x14ac:dyDescent="0.15">
      <c r="A673" s="221"/>
      <c r="B673" s="221"/>
      <c r="C673" s="209" t="s">
        <v>161</v>
      </c>
      <c r="D673" s="210" t="s">
        <v>133</v>
      </c>
      <c r="E673" s="212">
        <v>112</v>
      </c>
      <c r="F673" s="212">
        <v>10841</v>
      </c>
      <c r="G673" s="212">
        <v>1214192</v>
      </c>
      <c r="H673" s="212">
        <v>1627</v>
      </c>
      <c r="I673" s="212">
        <v>182224</v>
      </c>
      <c r="J673" s="212">
        <v>1031968</v>
      </c>
    </row>
    <row r="674" spans="1:10" ht="42.95" customHeight="1" x14ac:dyDescent="0.15">
      <c r="A674" s="221"/>
      <c r="B674" s="222" t="s">
        <v>215</v>
      </c>
      <c r="C674" s="223" t="s">
        <v>67</v>
      </c>
      <c r="D674" s="210" t="s">
        <v>85</v>
      </c>
      <c r="E674" s="212">
        <v>4</v>
      </c>
      <c r="F674" s="212">
        <v>26911</v>
      </c>
      <c r="G674" s="212">
        <v>107644</v>
      </c>
      <c r="H674" s="212">
        <v>0</v>
      </c>
      <c r="I674" s="212">
        <v>0</v>
      </c>
      <c r="J674" s="212">
        <v>107644</v>
      </c>
    </row>
    <row r="675" spans="1:10" ht="14.1" customHeight="1" x14ac:dyDescent="0.15">
      <c r="A675" s="221"/>
      <c r="B675" s="221"/>
      <c r="C675" s="221"/>
      <c r="D675" s="210" t="s">
        <v>141</v>
      </c>
      <c r="E675" s="212">
        <v>1</v>
      </c>
      <c r="F675" s="212">
        <v>13127</v>
      </c>
      <c r="G675" s="212">
        <v>13127</v>
      </c>
      <c r="H675" s="212">
        <v>0</v>
      </c>
      <c r="I675" s="212">
        <v>0</v>
      </c>
      <c r="J675" s="212">
        <v>13127</v>
      </c>
    </row>
    <row r="676" spans="1:10" ht="14.1" customHeight="1" x14ac:dyDescent="0.15">
      <c r="A676" s="221"/>
      <c r="B676" s="221"/>
      <c r="C676" s="221"/>
      <c r="D676" s="210" t="s">
        <v>83</v>
      </c>
      <c r="E676" s="212">
        <v>3</v>
      </c>
      <c r="F676" s="212">
        <v>10040</v>
      </c>
      <c r="G676" s="212">
        <v>30120</v>
      </c>
      <c r="H676" s="212">
        <v>0</v>
      </c>
      <c r="I676" s="212">
        <v>0</v>
      </c>
      <c r="J676" s="212">
        <v>30120</v>
      </c>
    </row>
    <row r="677" spans="1:10" ht="14.1" customHeight="1" x14ac:dyDescent="0.15">
      <c r="A677" s="221"/>
      <c r="B677" s="221"/>
      <c r="C677" s="221"/>
      <c r="D677" s="210" t="s">
        <v>136</v>
      </c>
      <c r="E677" s="212">
        <v>1</v>
      </c>
      <c r="F677" s="212">
        <v>6828</v>
      </c>
      <c r="G677" s="212">
        <v>6828</v>
      </c>
      <c r="H677" s="212">
        <v>0</v>
      </c>
      <c r="I677" s="212">
        <v>0</v>
      </c>
      <c r="J677" s="212">
        <v>6828</v>
      </c>
    </row>
    <row r="678" spans="1:10" ht="14.1" customHeight="1" x14ac:dyDescent="0.15">
      <c r="A678" s="221"/>
      <c r="B678" s="221"/>
      <c r="C678" s="221"/>
      <c r="D678" s="210" t="s">
        <v>77</v>
      </c>
      <c r="E678" s="212">
        <v>3</v>
      </c>
      <c r="F678" s="212">
        <v>6828</v>
      </c>
      <c r="G678" s="212">
        <v>20484</v>
      </c>
      <c r="H678" s="212">
        <v>0</v>
      </c>
      <c r="I678" s="212">
        <v>0</v>
      </c>
      <c r="J678" s="212">
        <v>20484</v>
      </c>
    </row>
    <row r="679" spans="1:10" ht="14.1" customHeight="1" x14ac:dyDescent="0.15">
      <c r="A679" s="221"/>
      <c r="B679" s="221"/>
      <c r="C679" s="221"/>
      <c r="D679" s="210" t="s">
        <v>137</v>
      </c>
      <c r="E679" s="212">
        <v>2</v>
      </c>
      <c r="F679" s="212">
        <v>4097</v>
      </c>
      <c r="G679" s="212">
        <v>8194</v>
      </c>
      <c r="H679" s="212">
        <v>0</v>
      </c>
      <c r="I679" s="212">
        <v>0</v>
      </c>
      <c r="J679" s="212">
        <v>8194</v>
      </c>
    </row>
    <row r="680" spans="1:10" ht="14.1" customHeight="1" x14ac:dyDescent="0.15">
      <c r="A680" s="221"/>
      <c r="B680" s="221"/>
      <c r="C680" s="221"/>
      <c r="D680" s="210" t="s">
        <v>143</v>
      </c>
      <c r="E680" s="212">
        <v>1</v>
      </c>
      <c r="F680" s="212">
        <v>5103</v>
      </c>
      <c r="G680" s="212">
        <v>5103</v>
      </c>
      <c r="H680" s="212">
        <v>0</v>
      </c>
      <c r="I680" s="212">
        <v>0</v>
      </c>
      <c r="J680" s="212">
        <v>5103</v>
      </c>
    </row>
    <row r="681" spans="1:10" ht="14.1" customHeight="1" x14ac:dyDescent="0.15">
      <c r="A681" s="221"/>
      <c r="B681" s="221"/>
      <c r="C681" s="221"/>
      <c r="D681" s="210" t="s">
        <v>138</v>
      </c>
      <c r="E681" s="212">
        <v>4</v>
      </c>
      <c r="F681" s="212">
        <v>5103</v>
      </c>
      <c r="G681" s="212">
        <v>20412</v>
      </c>
      <c r="H681" s="212">
        <v>0</v>
      </c>
      <c r="I681" s="212">
        <v>0</v>
      </c>
      <c r="J681" s="212">
        <v>20412</v>
      </c>
    </row>
    <row r="682" spans="1:10" ht="29.1" customHeight="1" x14ac:dyDescent="0.15">
      <c r="A682" s="221"/>
      <c r="B682" s="221"/>
      <c r="C682" s="222" t="s">
        <v>159</v>
      </c>
      <c r="D682" s="210" t="s">
        <v>70</v>
      </c>
      <c r="E682" s="212">
        <v>2</v>
      </c>
      <c r="F682" s="212">
        <v>3986</v>
      </c>
      <c r="G682" s="212">
        <v>7972</v>
      </c>
      <c r="H682" s="212">
        <v>1421</v>
      </c>
      <c r="I682" s="212">
        <v>2842</v>
      </c>
      <c r="J682" s="212">
        <v>5130</v>
      </c>
    </row>
    <row r="683" spans="1:10" ht="14.1" customHeight="1" x14ac:dyDescent="0.15">
      <c r="A683" s="221"/>
      <c r="B683" s="221"/>
      <c r="C683" s="221"/>
      <c r="D683" s="210" t="s">
        <v>79</v>
      </c>
      <c r="E683" s="212">
        <v>14</v>
      </c>
      <c r="F683" s="212">
        <v>28332</v>
      </c>
      <c r="G683" s="212">
        <v>396648</v>
      </c>
      <c r="H683" s="212">
        <v>1421</v>
      </c>
      <c r="I683" s="212">
        <v>19894</v>
      </c>
      <c r="J683" s="212">
        <v>376754</v>
      </c>
    </row>
    <row r="684" spans="1:10" ht="14.1" customHeight="1" x14ac:dyDescent="0.15">
      <c r="A684" s="221"/>
      <c r="B684" s="221"/>
      <c r="C684" s="221"/>
      <c r="D684" s="210" t="s">
        <v>73</v>
      </c>
      <c r="E684" s="212">
        <v>5</v>
      </c>
      <c r="F684" s="212">
        <v>14548</v>
      </c>
      <c r="G684" s="212">
        <v>72740</v>
      </c>
      <c r="H684" s="212">
        <v>1421</v>
      </c>
      <c r="I684" s="212">
        <v>7105</v>
      </c>
      <c r="J684" s="212">
        <v>65635</v>
      </c>
    </row>
    <row r="685" spans="1:10" ht="14.1" customHeight="1" x14ac:dyDescent="0.15">
      <c r="A685" s="221"/>
      <c r="B685" s="221"/>
      <c r="C685" s="221"/>
      <c r="D685" s="210" t="s">
        <v>74</v>
      </c>
      <c r="E685" s="212">
        <v>2</v>
      </c>
      <c r="F685" s="212">
        <v>11461</v>
      </c>
      <c r="G685" s="212">
        <v>22922</v>
      </c>
      <c r="H685" s="212">
        <v>1421</v>
      </c>
      <c r="I685" s="212">
        <v>2842</v>
      </c>
      <c r="J685" s="212">
        <v>20080</v>
      </c>
    </row>
    <row r="686" spans="1:10" ht="14.1" customHeight="1" x14ac:dyDescent="0.15">
      <c r="A686" s="221"/>
      <c r="B686" s="221"/>
      <c r="C686" s="221"/>
      <c r="D686" s="210" t="s">
        <v>71</v>
      </c>
      <c r="E686" s="212">
        <v>14</v>
      </c>
      <c r="F686" s="212">
        <v>8249</v>
      </c>
      <c r="G686" s="212">
        <v>115486</v>
      </c>
      <c r="H686" s="212">
        <v>1421</v>
      </c>
      <c r="I686" s="212">
        <v>19894</v>
      </c>
      <c r="J686" s="212">
        <v>95592</v>
      </c>
    </row>
    <row r="687" spans="1:10" ht="14.1" customHeight="1" x14ac:dyDescent="0.15">
      <c r="A687" s="221"/>
      <c r="B687" s="221"/>
      <c r="C687" s="221"/>
      <c r="D687" s="210" t="s">
        <v>82</v>
      </c>
      <c r="E687" s="212">
        <v>1</v>
      </c>
      <c r="F687" s="212">
        <v>3831</v>
      </c>
      <c r="G687" s="212">
        <v>3831</v>
      </c>
      <c r="H687" s="212">
        <v>1421</v>
      </c>
      <c r="I687" s="212">
        <v>1421</v>
      </c>
      <c r="J687" s="212">
        <v>2410</v>
      </c>
    </row>
    <row r="688" spans="1:10" ht="14.1" customHeight="1" x14ac:dyDescent="0.15">
      <c r="A688" s="221"/>
      <c r="B688" s="221"/>
      <c r="C688" s="221"/>
      <c r="D688" s="210" t="s">
        <v>69</v>
      </c>
      <c r="E688" s="212">
        <v>1</v>
      </c>
      <c r="F688" s="212">
        <v>25614</v>
      </c>
      <c r="G688" s="212">
        <v>25614</v>
      </c>
      <c r="H688" s="212">
        <v>1421</v>
      </c>
      <c r="I688" s="212">
        <v>1421</v>
      </c>
      <c r="J688" s="212">
        <v>24193</v>
      </c>
    </row>
    <row r="689" spans="1:10" ht="14.1" customHeight="1" x14ac:dyDescent="0.15">
      <c r="A689" s="221"/>
      <c r="B689" s="221"/>
      <c r="C689" s="221"/>
      <c r="D689" s="210" t="s">
        <v>139</v>
      </c>
      <c r="E689" s="212">
        <v>6</v>
      </c>
      <c r="F689" s="212">
        <v>5518</v>
      </c>
      <c r="G689" s="212">
        <v>33108</v>
      </c>
      <c r="H689" s="212">
        <v>1421</v>
      </c>
      <c r="I689" s="212">
        <v>8526</v>
      </c>
      <c r="J689" s="212">
        <v>24582</v>
      </c>
    </row>
    <row r="690" spans="1:10" ht="14.1" customHeight="1" x14ac:dyDescent="0.15">
      <c r="A690" s="221"/>
      <c r="B690" s="221"/>
      <c r="C690" s="221"/>
      <c r="D690" s="210" t="s">
        <v>140</v>
      </c>
      <c r="E690" s="212">
        <v>3</v>
      </c>
      <c r="F690" s="212">
        <v>6524</v>
      </c>
      <c r="G690" s="212">
        <v>19572</v>
      </c>
      <c r="H690" s="212">
        <v>1421</v>
      </c>
      <c r="I690" s="212">
        <v>4263</v>
      </c>
      <c r="J690" s="212">
        <v>15309</v>
      </c>
    </row>
    <row r="691" spans="1:10" ht="29.1" customHeight="1" x14ac:dyDescent="0.15">
      <c r="A691" s="221"/>
      <c r="B691" s="221"/>
      <c r="C691" s="222" t="s">
        <v>160</v>
      </c>
      <c r="D691" s="210" t="s">
        <v>82</v>
      </c>
      <c r="E691" s="212">
        <v>1</v>
      </c>
      <c r="F691" s="212">
        <v>3777</v>
      </c>
      <c r="G691" s="212">
        <v>3777</v>
      </c>
      <c r="H691" s="212">
        <v>1367</v>
      </c>
      <c r="I691" s="212">
        <v>1367</v>
      </c>
      <c r="J691" s="212">
        <v>2410</v>
      </c>
    </row>
    <row r="692" spans="1:10" ht="14.1" customHeight="1" x14ac:dyDescent="0.15">
      <c r="A692" s="221"/>
      <c r="B692" s="221"/>
      <c r="C692" s="221"/>
      <c r="D692" s="210" t="s">
        <v>139</v>
      </c>
      <c r="E692" s="212">
        <v>45</v>
      </c>
      <c r="F692" s="212">
        <v>5346</v>
      </c>
      <c r="G692" s="212">
        <v>240560</v>
      </c>
      <c r="H692" s="212">
        <v>1367</v>
      </c>
      <c r="I692" s="212">
        <v>61515</v>
      </c>
      <c r="J692" s="212">
        <v>179045</v>
      </c>
    </row>
    <row r="693" spans="1:10" ht="29.1" customHeight="1" x14ac:dyDescent="0.15">
      <c r="A693" s="221"/>
      <c r="B693" s="221"/>
      <c r="C693" s="222" t="s">
        <v>161</v>
      </c>
      <c r="D693" s="210" t="s">
        <v>70</v>
      </c>
      <c r="E693" s="212">
        <v>10</v>
      </c>
      <c r="F693" s="212">
        <v>3267</v>
      </c>
      <c r="G693" s="212">
        <v>32670</v>
      </c>
      <c r="H693" s="212">
        <v>702</v>
      </c>
      <c r="I693" s="212">
        <v>7020</v>
      </c>
      <c r="J693" s="212">
        <v>25650</v>
      </c>
    </row>
    <row r="694" spans="1:10" ht="14.1" customHeight="1" x14ac:dyDescent="0.15">
      <c r="A694" s="221"/>
      <c r="B694" s="221"/>
      <c r="C694" s="221"/>
      <c r="D694" s="210" t="s">
        <v>79</v>
      </c>
      <c r="E694" s="212">
        <v>481</v>
      </c>
      <c r="F694" s="212">
        <v>27613</v>
      </c>
      <c r="G694" s="212">
        <v>13281853</v>
      </c>
      <c r="H694" s="212">
        <v>702</v>
      </c>
      <c r="I694" s="212">
        <v>337662</v>
      </c>
      <c r="J694" s="212">
        <v>12944191</v>
      </c>
    </row>
    <row r="695" spans="1:10" ht="14.1" customHeight="1" x14ac:dyDescent="0.15">
      <c r="A695" s="221"/>
      <c r="B695" s="221"/>
      <c r="C695" s="221"/>
      <c r="D695" s="210" t="s">
        <v>73</v>
      </c>
      <c r="E695" s="212">
        <v>927</v>
      </c>
      <c r="F695" s="212">
        <v>13829</v>
      </c>
      <c r="G695" s="212">
        <v>12819483</v>
      </c>
      <c r="H695" s="212">
        <v>702</v>
      </c>
      <c r="I695" s="212">
        <v>650754</v>
      </c>
      <c r="J695" s="212">
        <v>12168729</v>
      </c>
    </row>
    <row r="696" spans="1:10" ht="14.1" customHeight="1" x14ac:dyDescent="0.15">
      <c r="A696" s="221"/>
      <c r="B696" s="221"/>
      <c r="C696" s="221"/>
      <c r="D696" s="210" t="s">
        <v>74</v>
      </c>
      <c r="E696" s="212">
        <v>192</v>
      </c>
      <c r="F696" s="212">
        <v>10742</v>
      </c>
      <c r="G696" s="212">
        <v>2062464</v>
      </c>
      <c r="H696" s="212">
        <v>702</v>
      </c>
      <c r="I696" s="212">
        <v>134784</v>
      </c>
      <c r="J696" s="212">
        <v>1927680</v>
      </c>
    </row>
    <row r="697" spans="1:10" ht="14.1" customHeight="1" x14ac:dyDescent="0.15">
      <c r="A697" s="221"/>
      <c r="B697" s="221"/>
      <c r="C697" s="221"/>
      <c r="D697" s="210" t="s">
        <v>71</v>
      </c>
      <c r="E697" s="212">
        <v>845</v>
      </c>
      <c r="F697" s="212">
        <v>7530</v>
      </c>
      <c r="G697" s="212">
        <v>6362850</v>
      </c>
      <c r="H697" s="212">
        <v>702</v>
      </c>
      <c r="I697" s="212">
        <v>593190</v>
      </c>
      <c r="J697" s="212">
        <v>5769660</v>
      </c>
    </row>
    <row r="698" spans="1:10" ht="14.1" customHeight="1" x14ac:dyDescent="0.15">
      <c r="A698" s="221"/>
      <c r="B698" s="221"/>
      <c r="C698" s="221"/>
      <c r="D698" s="210" t="s">
        <v>75</v>
      </c>
      <c r="E698" s="212">
        <v>2</v>
      </c>
      <c r="F698" s="212">
        <v>1907</v>
      </c>
      <c r="G698" s="212">
        <v>3814</v>
      </c>
      <c r="H698" s="212">
        <v>702</v>
      </c>
      <c r="I698" s="212">
        <v>1404</v>
      </c>
      <c r="J698" s="212">
        <v>2410</v>
      </c>
    </row>
    <row r="699" spans="1:10" ht="14.1" customHeight="1" x14ac:dyDescent="0.15">
      <c r="A699" s="221"/>
      <c r="B699" s="221"/>
      <c r="C699" s="221"/>
      <c r="D699" s="210" t="s">
        <v>139</v>
      </c>
      <c r="E699" s="212">
        <v>177</v>
      </c>
      <c r="F699" s="212">
        <v>4799</v>
      </c>
      <c r="G699" s="212">
        <v>849423</v>
      </c>
      <c r="H699" s="212">
        <v>702</v>
      </c>
      <c r="I699" s="212">
        <v>124254</v>
      </c>
      <c r="J699" s="212">
        <v>725169</v>
      </c>
    </row>
    <row r="700" spans="1:10" ht="14.1" customHeight="1" x14ac:dyDescent="0.15">
      <c r="A700" s="221"/>
      <c r="B700" s="221"/>
      <c r="C700" s="221"/>
      <c r="D700" s="210" t="s">
        <v>140</v>
      </c>
      <c r="E700" s="212">
        <v>202</v>
      </c>
      <c r="F700" s="212">
        <v>5805</v>
      </c>
      <c r="G700" s="212">
        <v>1172610</v>
      </c>
      <c r="H700" s="212">
        <v>702</v>
      </c>
      <c r="I700" s="212">
        <v>141804</v>
      </c>
      <c r="J700" s="212">
        <v>1030806</v>
      </c>
    </row>
    <row r="701" spans="1:10" ht="14.1" customHeight="1" x14ac:dyDescent="0.15">
      <c r="A701" s="221"/>
      <c r="B701" s="220" t="s">
        <v>168</v>
      </c>
      <c r="C701" s="223" t="s">
        <v>67</v>
      </c>
      <c r="D701" s="210" t="s">
        <v>136</v>
      </c>
      <c r="E701" s="212">
        <v>2</v>
      </c>
      <c r="F701" s="212">
        <v>6828</v>
      </c>
      <c r="G701" s="212">
        <v>13656</v>
      </c>
      <c r="H701" s="212">
        <v>925</v>
      </c>
      <c r="I701" s="212">
        <v>1850</v>
      </c>
      <c r="J701" s="212">
        <v>11806</v>
      </c>
    </row>
    <row r="702" spans="1:10" ht="14.1" customHeight="1" x14ac:dyDescent="0.15">
      <c r="A702" s="221"/>
      <c r="B702" s="221"/>
      <c r="C702" s="221"/>
      <c r="D702" s="210" t="s">
        <v>77</v>
      </c>
      <c r="E702" s="212">
        <v>2</v>
      </c>
      <c r="F702" s="212">
        <v>6828</v>
      </c>
      <c r="G702" s="212">
        <v>13656</v>
      </c>
      <c r="H702" s="212">
        <v>925</v>
      </c>
      <c r="I702" s="212">
        <v>1850</v>
      </c>
      <c r="J702" s="212">
        <v>11806</v>
      </c>
    </row>
    <row r="703" spans="1:10" ht="29.1" customHeight="1" x14ac:dyDescent="0.15">
      <c r="A703" s="221"/>
      <c r="B703" s="221"/>
      <c r="C703" s="222" t="s">
        <v>159</v>
      </c>
      <c r="D703" s="210" t="s">
        <v>79</v>
      </c>
      <c r="E703" s="212">
        <v>1</v>
      </c>
      <c r="F703" s="212">
        <v>28332</v>
      </c>
      <c r="G703" s="212">
        <v>28332</v>
      </c>
      <c r="H703" s="212">
        <v>2346</v>
      </c>
      <c r="I703" s="212">
        <v>2346</v>
      </c>
      <c r="J703" s="212">
        <v>25986</v>
      </c>
    </row>
    <row r="704" spans="1:10" ht="14.1" customHeight="1" x14ac:dyDescent="0.15">
      <c r="A704" s="221"/>
      <c r="B704" s="221"/>
      <c r="C704" s="221"/>
      <c r="D704" s="210" t="s">
        <v>71</v>
      </c>
      <c r="E704" s="212">
        <v>21</v>
      </c>
      <c r="F704" s="212">
        <v>8249</v>
      </c>
      <c r="G704" s="212">
        <v>173229</v>
      </c>
      <c r="H704" s="212">
        <v>2346</v>
      </c>
      <c r="I704" s="212">
        <v>49266</v>
      </c>
      <c r="J704" s="212">
        <v>123963</v>
      </c>
    </row>
    <row r="705" spans="1:10" ht="29.1" customHeight="1" x14ac:dyDescent="0.15">
      <c r="A705" s="221"/>
      <c r="B705" s="221"/>
      <c r="C705" s="222" t="s">
        <v>161</v>
      </c>
      <c r="D705" s="210" t="s">
        <v>79</v>
      </c>
      <c r="E705" s="212">
        <v>23</v>
      </c>
      <c r="F705" s="212">
        <v>27613</v>
      </c>
      <c r="G705" s="212">
        <v>635099</v>
      </c>
      <c r="H705" s="212">
        <v>1627</v>
      </c>
      <c r="I705" s="212">
        <v>37421</v>
      </c>
      <c r="J705" s="212">
        <v>597678</v>
      </c>
    </row>
    <row r="706" spans="1:10" ht="14.1" customHeight="1" x14ac:dyDescent="0.15">
      <c r="A706" s="221"/>
      <c r="B706" s="221"/>
      <c r="C706" s="221"/>
      <c r="D706" s="210" t="s">
        <v>71</v>
      </c>
      <c r="E706" s="212">
        <v>910</v>
      </c>
      <c r="F706" s="212">
        <v>7530</v>
      </c>
      <c r="G706" s="212">
        <v>6852300</v>
      </c>
      <c r="H706" s="212">
        <v>1627</v>
      </c>
      <c r="I706" s="212">
        <v>1480570</v>
      </c>
      <c r="J706" s="212">
        <v>5371730</v>
      </c>
    </row>
    <row r="707" spans="1:10" ht="29.1" customHeight="1" x14ac:dyDescent="0.15">
      <c r="A707" s="222" t="s">
        <v>116</v>
      </c>
      <c r="B707" s="221" t="s">
        <v>53</v>
      </c>
      <c r="C707" s="221"/>
      <c r="D707" s="221"/>
      <c r="E707" s="212">
        <v>28561</v>
      </c>
      <c r="F707" s="212">
        <v>977026</v>
      </c>
      <c r="G707" s="212">
        <v>380511532</v>
      </c>
      <c r="H707" s="212"/>
      <c r="I707" s="212">
        <v>36958259</v>
      </c>
      <c r="J707" s="212">
        <v>343553273</v>
      </c>
    </row>
    <row r="708" spans="1:10" ht="14.1" customHeight="1" x14ac:dyDescent="0.15">
      <c r="A708" s="221"/>
      <c r="B708" s="210" t="s">
        <v>63</v>
      </c>
      <c r="C708" s="210" t="s">
        <v>64</v>
      </c>
      <c r="D708" s="210" t="s">
        <v>65</v>
      </c>
      <c r="E708" s="218">
        <v>61</v>
      </c>
      <c r="F708" s="218">
        <v>10139</v>
      </c>
      <c r="G708" s="218">
        <v>618479</v>
      </c>
      <c r="H708" s="218">
        <v>0</v>
      </c>
      <c r="I708" s="218">
        <v>0</v>
      </c>
      <c r="J708" s="218">
        <v>618479</v>
      </c>
    </row>
    <row r="709" spans="1:10" ht="14.1" customHeight="1" x14ac:dyDescent="0.15">
      <c r="A709" s="221"/>
      <c r="B709" s="220" t="s">
        <v>66</v>
      </c>
      <c r="C709" s="223" t="s">
        <v>67</v>
      </c>
      <c r="D709" s="210" t="s">
        <v>134</v>
      </c>
      <c r="E709" s="219"/>
      <c r="F709" s="219"/>
      <c r="G709" s="219"/>
      <c r="H709" s="219"/>
      <c r="I709" s="219"/>
      <c r="J709" s="219"/>
    </row>
    <row r="710" spans="1:10" ht="14.1" customHeight="1" x14ac:dyDescent="0.15">
      <c r="A710" s="221"/>
      <c r="B710" s="221"/>
      <c r="C710" s="221"/>
      <c r="D710" s="210" t="s">
        <v>132</v>
      </c>
      <c r="E710" s="212">
        <v>20</v>
      </c>
      <c r="F710" s="212">
        <v>10139</v>
      </c>
      <c r="G710" s="212">
        <v>202780</v>
      </c>
      <c r="H710" s="212">
        <v>0</v>
      </c>
      <c r="I710" s="212">
        <v>0</v>
      </c>
      <c r="J710" s="212">
        <v>202780</v>
      </c>
    </row>
    <row r="711" spans="1:10" ht="29.1" customHeight="1" x14ac:dyDescent="0.15">
      <c r="A711" s="221"/>
      <c r="B711" s="221"/>
      <c r="C711" s="209" t="s">
        <v>161</v>
      </c>
      <c r="D711" s="210" t="s">
        <v>133</v>
      </c>
      <c r="E711" s="212">
        <v>2464</v>
      </c>
      <c r="F711" s="212">
        <v>10841</v>
      </c>
      <c r="G711" s="212">
        <v>26712224</v>
      </c>
      <c r="H711" s="212">
        <v>1627</v>
      </c>
      <c r="I711" s="212">
        <v>4008928</v>
      </c>
      <c r="J711" s="212">
        <v>22703296</v>
      </c>
    </row>
    <row r="712" spans="1:10" ht="14.1" customHeight="1" x14ac:dyDescent="0.15">
      <c r="A712" s="221"/>
      <c r="B712" s="220" t="s">
        <v>76</v>
      </c>
      <c r="C712" s="223" t="s">
        <v>67</v>
      </c>
      <c r="D712" s="210" t="s">
        <v>136</v>
      </c>
      <c r="E712" s="212">
        <v>1</v>
      </c>
      <c r="F712" s="212">
        <v>6828</v>
      </c>
      <c r="G712" s="212">
        <v>6828</v>
      </c>
      <c r="H712" s="212">
        <v>0</v>
      </c>
      <c r="I712" s="212">
        <v>0</v>
      </c>
      <c r="J712" s="212">
        <v>6828</v>
      </c>
    </row>
    <row r="713" spans="1:10" ht="14.1" customHeight="1" x14ac:dyDescent="0.15">
      <c r="A713" s="221"/>
      <c r="B713" s="221"/>
      <c r="C713" s="221"/>
      <c r="D713" s="210" t="s">
        <v>77</v>
      </c>
      <c r="E713" s="212">
        <v>2</v>
      </c>
      <c r="F713" s="212">
        <v>6828</v>
      </c>
      <c r="G713" s="212">
        <v>13656</v>
      </c>
      <c r="H713" s="212">
        <v>0</v>
      </c>
      <c r="I713" s="212">
        <v>0</v>
      </c>
      <c r="J713" s="212">
        <v>13656</v>
      </c>
    </row>
    <row r="714" spans="1:10" ht="14.1" customHeight="1" x14ac:dyDescent="0.15">
      <c r="A714" s="221"/>
      <c r="B714" s="221"/>
      <c r="C714" s="221"/>
      <c r="D714" s="210" t="s">
        <v>81</v>
      </c>
      <c r="E714" s="212">
        <v>1</v>
      </c>
      <c r="F714" s="212">
        <v>6949</v>
      </c>
      <c r="G714" s="212">
        <v>6949</v>
      </c>
      <c r="H714" s="212">
        <v>0</v>
      </c>
      <c r="I714" s="212">
        <v>0</v>
      </c>
      <c r="J714" s="212">
        <v>6949</v>
      </c>
    </row>
    <row r="715" spans="1:10" ht="29.1" customHeight="1" x14ac:dyDescent="0.15">
      <c r="A715" s="221"/>
      <c r="B715" s="221"/>
      <c r="C715" s="222" t="s">
        <v>159</v>
      </c>
      <c r="D715" s="210" t="s">
        <v>71</v>
      </c>
      <c r="E715" s="212">
        <v>9</v>
      </c>
      <c r="F715" s="212">
        <v>8249</v>
      </c>
      <c r="G715" s="212">
        <v>74241</v>
      </c>
      <c r="H715" s="212">
        <v>1421</v>
      </c>
      <c r="I715" s="212">
        <v>12789</v>
      </c>
      <c r="J715" s="212">
        <v>61452</v>
      </c>
    </row>
    <row r="716" spans="1:10" ht="14.1" customHeight="1" x14ac:dyDescent="0.15">
      <c r="A716" s="221"/>
      <c r="B716" s="221"/>
      <c r="C716" s="221"/>
      <c r="D716" s="210" t="s">
        <v>91</v>
      </c>
      <c r="E716" s="212">
        <v>339</v>
      </c>
      <c r="F716" s="212">
        <v>8370</v>
      </c>
      <c r="G716" s="212">
        <v>2837430</v>
      </c>
      <c r="H716" s="212">
        <v>1421</v>
      </c>
      <c r="I716" s="212">
        <v>481719</v>
      </c>
      <c r="J716" s="212">
        <v>2355711</v>
      </c>
    </row>
    <row r="717" spans="1:10" ht="29.1" customHeight="1" x14ac:dyDescent="0.15">
      <c r="A717" s="221"/>
      <c r="B717" s="221"/>
      <c r="C717" s="222" t="s">
        <v>161</v>
      </c>
      <c r="D717" s="210" t="s">
        <v>80</v>
      </c>
      <c r="E717" s="212">
        <v>1</v>
      </c>
      <c r="F717" s="212">
        <v>14027</v>
      </c>
      <c r="G717" s="212">
        <v>14027</v>
      </c>
      <c r="H717" s="212">
        <v>6951</v>
      </c>
      <c r="I717" s="212">
        <v>6951</v>
      </c>
      <c r="J717" s="212">
        <v>7076</v>
      </c>
    </row>
    <row r="718" spans="1:10" ht="14.1" customHeight="1" x14ac:dyDescent="0.15">
      <c r="A718" s="221"/>
      <c r="B718" s="221"/>
      <c r="C718" s="221"/>
      <c r="D718" s="210" t="s">
        <v>71</v>
      </c>
      <c r="E718" s="212">
        <v>3240</v>
      </c>
      <c r="F718" s="212">
        <v>7530</v>
      </c>
      <c r="G718" s="212">
        <v>24397200</v>
      </c>
      <c r="H718" s="212">
        <v>702</v>
      </c>
      <c r="I718" s="212">
        <v>2274480</v>
      </c>
      <c r="J718" s="212">
        <v>22122720</v>
      </c>
    </row>
    <row r="719" spans="1:10" ht="14.1" customHeight="1" x14ac:dyDescent="0.15">
      <c r="A719" s="221"/>
      <c r="B719" s="221"/>
      <c r="C719" s="221"/>
      <c r="D719" s="210" t="s">
        <v>91</v>
      </c>
      <c r="E719" s="212">
        <v>2853</v>
      </c>
      <c r="F719" s="212">
        <v>7651</v>
      </c>
      <c r="G719" s="212">
        <v>21828303</v>
      </c>
      <c r="H719" s="212">
        <v>702</v>
      </c>
      <c r="I719" s="212">
        <v>2002806</v>
      </c>
      <c r="J719" s="212">
        <v>19825497</v>
      </c>
    </row>
    <row r="720" spans="1:10" ht="14.1" customHeight="1" x14ac:dyDescent="0.15">
      <c r="A720" s="221"/>
      <c r="B720" s="220" t="s">
        <v>162</v>
      </c>
      <c r="C720" s="223" t="s">
        <v>108</v>
      </c>
      <c r="D720" s="210" t="s">
        <v>163</v>
      </c>
      <c r="E720" s="212">
        <v>1</v>
      </c>
      <c r="F720" s="212">
        <v>23712</v>
      </c>
      <c r="G720" s="212">
        <v>23712</v>
      </c>
      <c r="H720" s="212">
        <v>3932</v>
      </c>
      <c r="I720" s="212">
        <v>3932</v>
      </c>
      <c r="J720" s="212">
        <v>19780</v>
      </c>
    </row>
    <row r="721" spans="1:10" ht="14.1" customHeight="1" x14ac:dyDescent="0.15">
      <c r="A721" s="221"/>
      <c r="B721" s="221"/>
      <c r="C721" s="221"/>
      <c r="D721" s="210" t="s">
        <v>165</v>
      </c>
      <c r="E721" s="212">
        <v>172</v>
      </c>
      <c r="F721" s="212">
        <v>20422</v>
      </c>
      <c r="G721" s="212">
        <v>3512584</v>
      </c>
      <c r="H721" s="212">
        <v>3932</v>
      </c>
      <c r="I721" s="212">
        <v>676304</v>
      </c>
      <c r="J721" s="212">
        <v>2836280</v>
      </c>
    </row>
    <row r="722" spans="1:10" ht="42.95" customHeight="1" x14ac:dyDescent="0.15">
      <c r="A722" s="221"/>
      <c r="B722" s="222" t="s">
        <v>215</v>
      </c>
      <c r="C722" s="223" t="s">
        <v>67</v>
      </c>
      <c r="D722" s="210" t="s">
        <v>145</v>
      </c>
      <c r="E722" s="212">
        <v>4</v>
      </c>
      <c r="F722" s="212">
        <v>26911</v>
      </c>
      <c r="G722" s="212">
        <v>107644</v>
      </c>
      <c r="H722" s="212">
        <v>0</v>
      </c>
      <c r="I722" s="212">
        <v>0</v>
      </c>
      <c r="J722" s="212">
        <v>107644</v>
      </c>
    </row>
    <row r="723" spans="1:10" ht="14.1" customHeight="1" x14ac:dyDescent="0.15">
      <c r="A723" s="221"/>
      <c r="B723" s="221"/>
      <c r="C723" s="221"/>
      <c r="D723" s="210" t="s">
        <v>85</v>
      </c>
      <c r="E723" s="212">
        <v>2</v>
      </c>
      <c r="F723" s="212">
        <v>26911</v>
      </c>
      <c r="G723" s="212">
        <v>53822</v>
      </c>
      <c r="H723" s="212">
        <v>0</v>
      </c>
      <c r="I723" s="212">
        <v>0</v>
      </c>
      <c r="J723" s="212">
        <v>53822</v>
      </c>
    </row>
    <row r="724" spans="1:10" ht="14.1" customHeight="1" x14ac:dyDescent="0.15">
      <c r="A724" s="221"/>
      <c r="B724" s="221"/>
      <c r="C724" s="221"/>
      <c r="D724" s="210" t="s">
        <v>141</v>
      </c>
      <c r="E724" s="212">
        <v>3</v>
      </c>
      <c r="F724" s="212">
        <v>13127</v>
      </c>
      <c r="G724" s="212">
        <v>39381</v>
      </c>
      <c r="H724" s="212">
        <v>0</v>
      </c>
      <c r="I724" s="212">
        <v>0</v>
      </c>
      <c r="J724" s="212">
        <v>39381</v>
      </c>
    </row>
    <row r="725" spans="1:10" ht="14.1" customHeight="1" x14ac:dyDescent="0.15">
      <c r="A725" s="221"/>
      <c r="B725" s="221"/>
      <c r="C725" s="221"/>
      <c r="D725" s="210" t="s">
        <v>78</v>
      </c>
      <c r="E725" s="212">
        <v>1</v>
      </c>
      <c r="F725" s="212">
        <v>13127</v>
      </c>
      <c r="G725" s="212">
        <v>13127</v>
      </c>
      <c r="H725" s="212">
        <v>0</v>
      </c>
      <c r="I725" s="212">
        <v>0</v>
      </c>
      <c r="J725" s="212">
        <v>13127</v>
      </c>
    </row>
    <row r="726" spans="1:10" ht="14.1" customHeight="1" x14ac:dyDescent="0.15">
      <c r="A726" s="221"/>
      <c r="B726" s="221"/>
      <c r="C726" s="221"/>
      <c r="D726" s="210" t="s">
        <v>83</v>
      </c>
      <c r="E726" s="212">
        <v>13</v>
      </c>
      <c r="F726" s="212">
        <v>10040</v>
      </c>
      <c r="G726" s="212">
        <v>130520</v>
      </c>
      <c r="H726" s="212">
        <v>0</v>
      </c>
      <c r="I726" s="212">
        <v>0</v>
      </c>
      <c r="J726" s="212">
        <v>130520</v>
      </c>
    </row>
    <row r="727" spans="1:10" ht="14.1" customHeight="1" x14ac:dyDescent="0.15">
      <c r="A727" s="221"/>
      <c r="B727" s="221"/>
      <c r="C727" s="221"/>
      <c r="D727" s="210" t="s">
        <v>136</v>
      </c>
      <c r="E727" s="212">
        <v>10</v>
      </c>
      <c r="F727" s="212">
        <v>6828</v>
      </c>
      <c r="G727" s="212">
        <v>68280</v>
      </c>
      <c r="H727" s="212">
        <v>0</v>
      </c>
      <c r="I727" s="212">
        <v>0</v>
      </c>
      <c r="J727" s="212">
        <v>68280</v>
      </c>
    </row>
    <row r="728" spans="1:10" ht="14.1" customHeight="1" x14ac:dyDescent="0.15">
      <c r="A728" s="221"/>
      <c r="B728" s="221"/>
      <c r="C728" s="221"/>
      <c r="D728" s="210" t="s">
        <v>77</v>
      </c>
      <c r="E728" s="212">
        <v>18</v>
      </c>
      <c r="F728" s="212">
        <v>6828</v>
      </c>
      <c r="G728" s="212">
        <v>122904</v>
      </c>
      <c r="H728" s="212">
        <v>0</v>
      </c>
      <c r="I728" s="212">
        <v>0</v>
      </c>
      <c r="J728" s="212">
        <v>122904</v>
      </c>
    </row>
    <row r="729" spans="1:10" ht="14.1" customHeight="1" x14ac:dyDescent="0.15">
      <c r="A729" s="221"/>
      <c r="B729" s="221"/>
      <c r="C729" s="221"/>
      <c r="D729" s="210" t="s">
        <v>153</v>
      </c>
      <c r="E729" s="212">
        <v>5</v>
      </c>
      <c r="F729" s="212">
        <v>24193</v>
      </c>
      <c r="G729" s="212">
        <v>120965</v>
      </c>
      <c r="H729" s="212">
        <v>0</v>
      </c>
      <c r="I729" s="212">
        <v>0</v>
      </c>
      <c r="J729" s="212">
        <v>120965</v>
      </c>
    </row>
    <row r="730" spans="1:10" ht="14.1" customHeight="1" x14ac:dyDescent="0.15">
      <c r="A730" s="221"/>
      <c r="B730" s="221"/>
      <c r="C730" s="221"/>
      <c r="D730" s="210" t="s">
        <v>142</v>
      </c>
      <c r="E730" s="212">
        <v>1</v>
      </c>
      <c r="F730" s="212">
        <v>4097</v>
      </c>
      <c r="G730" s="212">
        <v>4097</v>
      </c>
      <c r="H730" s="212">
        <v>0</v>
      </c>
      <c r="I730" s="212">
        <v>0</v>
      </c>
      <c r="J730" s="212">
        <v>4097</v>
      </c>
    </row>
    <row r="731" spans="1:10" ht="14.1" customHeight="1" x14ac:dyDescent="0.15">
      <c r="A731" s="221"/>
      <c r="B731" s="221"/>
      <c r="C731" s="221"/>
      <c r="D731" s="210" t="s">
        <v>137</v>
      </c>
      <c r="E731" s="212">
        <v>1</v>
      </c>
      <c r="F731" s="212">
        <v>4097</v>
      </c>
      <c r="G731" s="212">
        <v>4097</v>
      </c>
      <c r="H731" s="212">
        <v>0</v>
      </c>
      <c r="I731" s="212">
        <v>0</v>
      </c>
      <c r="J731" s="212">
        <v>4097</v>
      </c>
    </row>
    <row r="732" spans="1:10" ht="14.1" customHeight="1" x14ac:dyDescent="0.15">
      <c r="A732" s="221"/>
      <c r="B732" s="221"/>
      <c r="C732" s="221"/>
      <c r="D732" s="210" t="s">
        <v>143</v>
      </c>
      <c r="E732" s="212">
        <v>1</v>
      </c>
      <c r="F732" s="212">
        <v>5103</v>
      </c>
      <c r="G732" s="212">
        <v>5103</v>
      </c>
      <c r="H732" s="212">
        <v>0</v>
      </c>
      <c r="I732" s="212">
        <v>0</v>
      </c>
      <c r="J732" s="212">
        <v>5103</v>
      </c>
    </row>
    <row r="733" spans="1:10" ht="14.1" customHeight="1" x14ac:dyDescent="0.15">
      <c r="A733" s="221"/>
      <c r="B733" s="221"/>
      <c r="C733" s="221"/>
      <c r="D733" s="210" t="s">
        <v>138</v>
      </c>
      <c r="E733" s="212">
        <v>16</v>
      </c>
      <c r="F733" s="212">
        <v>5103</v>
      </c>
      <c r="G733" s="212">
        <v>81648</v>
      </c>
      <c r="H733" s="212">
        <v>0</v>
      </c>
      <c r="I733" s="212">
        <v>0</v>
      </c>
      <c r="J733" s="212">
        <v>81648</v>
      </c>
    </row>
    <row r="734" spans="1:10" ht="29.1" customHeight="1" x14ac:dyDescent="0.15">
      <c r="A734" s="221"/>
      <c r="B734" s="221"/>
      <c r="C734" s="222" t="s">
        <v>159</v>
      </c>
      <c r="D734" s="210" t="s">
        <v>79</v>
      </c>
      <c r="E734" s="212">
        <v>5</v>
      </c>
      <c r="F734" s="212">
        <v>28332</v>
      </c>
      <c r="G734" s="212">
        <v>141660</v>
      </c>
      <c r="H734" s="212">
        <v>1421</v>
      </c>
      <c r="I734" s="212">
        <v>7105</v>
      </c>
      <c r="J734" s="212">
        <v>134555</v>
      </c>
    </row>
    <row r="735" spans="1:10" ht="14.1" customHeight="1" x14ac:dyDescent="0.15">
      <c r="A735" s="221"/>
      <c r="B735" s="221"/>
      <c r="C735" s="221"/>
      <c r="D735" s="210" t="s">
        <v>73</v>
      </c>
      <c r="E735" s="212">
        <v>1</v>
      </c>
      <c r="F735" s="212">
        <v>14548</v>
      </c>
      <c r="G735" s="212">
        <v>14548</v>
      </c>
      <c r="H735" s="212">
        <v>1421</v>
      </c>
      <c r="I735" s="212">
        <v>1421</v>
      </c>
      <c r="J735" s="212">
        <v>13127</v>
      </c>
    </row>
    <row r="736" spans="1:10" ht="14.1" customHeight="1" x14ac:dyDescent="0.15">
      <c r="A736" s="221"/>
      <c r="B736" s="221"/>
      <c r="C736" s="221"/>
      <c r="D736" s="210" t="s">
        <v>74</v>
      </c>
      <c r="E736" s="212">
        <v>2</v>
      </c>
      <c r="F736" s="212">
        <v>11461</v>
      </c>
      <c r="G736" s="212">
        <v>22922</v>
      </c>
      <c r="H736" s="212">
        <v>1421</v>
      </c>
      <c r="I736" s="212">
        <v>2842</v>
      </c>
      <c r="J736" s="212">
        <v>20080</v>
      </c>
    </row>
    <row r="737" spans="1:10" ht="14.1" customHeight="1" x14ac:dyDescent="0.15">
      <c r="A737" s="221"/>
      <c r="B737" s="221"/>
      <c r="C737" s="221"/>
      <c r="D737" s="210" t="s">
        <v>71</v>
      </c>
      <c r="E737" s="212">
        <v>3</v>
      </c>
      <c r="F737" s="212">
        <v>8249</v>
      </c>
      <c r="G737" s="212">
        <v>24747</v>
      </c>
      <c r="H737" s="212">
        <v>1421</v>
      </c>
      <c r="I737" s="212">
        <v>4263</v>
      </c>
      <c r="J737" s="212">
        <v>20484</v>
      </c>
    </row>
    <row r="738" spans="1:10" ht="14.1" customHeight="1" x14ac:dyDescent="0.15">
      <c r="A738" s="221"/>
      <c r="B738" s="221"/>
      <c r="C738" s="221"/>
      <c r="D738" s="210" t="s">
        <v>69</v>
      </c>
      <c r="E738" s="212">
        <v>1</v>
      </c>
      <c r="F738" s="212">
        <v>25614</v>
      </c>
      <c r="G738" s="212">
        <v>25614</v>
      </c>
      <c r="H738" s="212">
        <v>1421</v>
      </c>
      <c r="I738" s="212">
        <v>1421</v>
      </c>
      <c r="J738" s="212">
        <v>24193</v>
      </c>
    </row>
    <row r="739" spans="1:10" ht="14.1" customHeight="1" x14ac:dyDescent="0.15">
      <c r="A739" s="221"/>
      <c r="B739" s="221"/>
      <c r="C739" s="221"/>
      <c r="D739" s="210" t="s">
        <v>139</v>
      </c>
      <c r="E739" s="212">
        <v>13</v>
      </c>
      <c r="F739" s="212">
        <v>5518</v>
      </c>
      <c r="G739" s="212">
        <v>71734</v>
      </c>
      <c r="H739" s="212">
        <v>1421</v>
      </c>
      <c r="I739" s="212">
        <v>18473</v>
      </c>
      <c r="J739" s="212">
        <v>53261</v>
      </c>
    </row>
    <row r="740" spans="1:10" ht="29.1" customHeight="1" x14ac:dyDescent="0.15">
      <c r="A740" s="221"/>
      <c r="B740" s="221"/>
      <c r="C740" s="222" t="s">
        <v>161</v>
      </c>
      <c r="D740" s="210" t="s">
        <v>101</v>
      </c>
      <c r="E740" s="212">
        <v>14</v>
      </c>
      <c r="F740" s="212">
        <v>45688</v>
      </c>
      <c r="G740" s="212">
        <v>639632</v>
      </c>
      <c r="H740" s="212">
        <v>702</v>
      </c>
      <c r="I740" s="212">
        <v>9828</v>
      </c>
      <c r="J740" s="212">
        <v>629804</v>
      </c>
    </row>
    <row r="741" spans="1:10" ht="14.1" customHeight="1" x14ac:dyDescent="0.15">
      <c r="A741" s="221"/>
      <c r="B741" s="221"/>
      <c r="C741" s="221"/>
      <c r="D741" s="210" t="s">
        <v>79</v>
      </c>
      <c r="E741" s="212">
        <v>648</v>
      </c>
      <c r="F741" s="212">
        <v>27613</v>
      </c>
      <c r="G741" s="212">
        <v>17893224</v>
      </c>
      <c r="H741" s="212">
        <v>702</v>
      </c>
      <c r="I741" s="212">
        <v>454896</v>
      </c>
      <c r="J741" s="212">
        <v>17438328</v>
      </c>
    </row>
    <row r="742" spans="1:10" ht="14.1" customHeight="1" x14ac:dyDescent="0.15">
      <c r="A742" s="221"/>
      <c r="B742" s="221"/>
      <c r="C742" s="221"/>
      <c r="D742" s="210" t="s">
        <v>73</v>
      </c>
      <c r="E742" s="212">
        <v>1580</v>
      </c>
      <c r="F742" s="212">
        <v>13829</v>
      </c>
      <c r="G742" s="212">
        <v>21849820</v>
      </c>
      <c r="H742" s="212">
        <v>702</v>
      </c>
      <c r="I742" s="212">
        <v>1109160</v>
      </c>
      <c r="J742" s="212">
        <v>20740660</v>
      </c>
    </row>
    <row r="743" spans="1:10" ht="14.1" customHeight="1" x14ac:dyDescent="0.15">
      <c r="A743" s="221"/>
      <c r="B743" s="221"/>
      <c r="C743" s="221"/>
      <c r="D743" s="210" t="s">
        <v>74</v>
      </c>
      <c r="E743" s="212">
        <v>344</v>
      </c>
      <c r="F743" s="212">
        <v>10742</v>
      </c>
      <c r="G743" s="212">
        <v>3695248</v>
      </c>
      <c r="H743" s="212">
        <v>702</v>
      </c>
      <c r="I743" s="212">
        <v>241488</v>
      </c>
      <c r="J743" s="212">
        <v>3453760</v>
      </c>
    </row>
    <row r="744" spans="1:10" ht="14.1" customHeight="1" x14ac:dyDescent="0.15">
      <c r="A744" s="221"/>
      <c r="B744" s="221"/>
      <c r="C744" s="221"/>
      <c r="D744" s="210" t="s">
        <v>71</v>
      </c>
      <c r="E744" s="212">
        <v>206</v>
      </c>
      <c r="F744" s="212">
        <v>7530</v>
      </c>
      <c r="G744" s="212">
        <v>1551180</v>
      </c>
      <c r="H744" s="212">
        <v>702</v>
      </c>
      <c r="I744" s="212">
        <v>144612</v>
      </c>
      <c r="J744" s="212">
        <v>1406568</v>
      </c>
    </row>
    <row r="745" spans="1:10" ht="14.1" customHeight="1" x14ac:dyDescent="0.15">
      <c r="A745" s="221"/>
      <c r="B745" s="221"/>
      <c r="C745" s="221"/>
      <c r="D745" s="210" t="s">
        <v>72</v>
      </c>
      <c r="E745" s="212">
        <v>1</v>
      </c>
      <c r="F745" s="212">
        <v>4953</v>
      </c>
      <c r="G745" s="212">
        <v>4953</v>
      </c>
      <c r="H745" s="212">
        <v>702</v>
      </c>
      <c r="I745" s="212">
        <v>702</v>
      </c>
      <c r="J745" s="212">
        <v>4251</v>
      </c>
    </row>
    <row r="746" spans="1:10" ht="14.1" customHeight="1" x14ac:dyDescent="0.15">
      <c r="A746" s="221"/>
      <c r="B746" s="221"/>
      <c r="C746" s="221"/>
      <c r="D746" s="210" t="s">
        <v>82</v>
      </c>
      <c r="E746" s="212">
        <v>2</v>
      </c>
      <c r="F746" s="212">
        <v>3112</v>
      </c>
      <c r="G746" s="212">
        <v>6224</v>
      </c>
      <c r="H746" s="212">
        <v>702</v>
      </c>
      <c r="I746" s="212">
        <v>1404</v>
      </c>
      <c r="J746" s="212">
        <v>4820</v>
      </c>
    </row>
    <row r="747" spans="1:10" ht="14.1" customHeight="1" x14ac:dyDescent="0.15">
      <c r="A747" s="221"/>
      <c r="B747" s="221"/>
      <c r="C747" s="221"/>
      <c r="D747" s="210" t="s">
        <v>75</v>
      </c>
      <c r="E747" s="212">
        <v>4</v>
      </c>
      <c r="F747" s="212">
        <v>1907</v>
      </c>
      <c r="G747" s="212">
        <v>7628</v>
      </c>
      <c r="H747" s="212">
        <v>702</v>
      </c>
      <c r="I747" s="212">
        <v>2808</v>
      </c>
      <c r="J747" s="212">
        <v>4820</v>
      </c>
    </row>
    <row r="748" spans="1:10" ht="14.1" customHeight="1" x14ac:dyDescent="0.15">
      <c r="A748" s="221"/>
      <c r="B748" s="221"/>
      <c r="C748" s="221"/>
      <c r="D748" s="210" t="s">
        <v>69</v>
      </c>
      <c r="E748" s="212">
        <v>39</v>
      </c>
      <c r="F748" s="212">
        <v>24895</v>
      </c>
      <c r="G748" s="212">
        <v>970905</v>
      </c>
      <c r="H748" s="212">
        <v>702</v>
      </c>
      <c r="I748" s="212">
        <v>27378</v>
      </c>
      <c r="J748" s="212">
        <v>943527</v>
      </c>
    </row>
    <row r="749" spans="1:10" ht="14.1" customHeight="1" x14ac:dyDescent="0.15">
      <c r="A749" s="221"/>
      <c r="B749" s="221"/>
      <c r="C749" s="221"/>
      <c r="D749" s="210" t="s">
        <v>139</v>
      </c>
      <c r="E749" s="212">
        <v>559</v>
      </c>
      <c r="F749" s="212">
        <v>4799</v>
      </c>
      <c r="G749" s="212">
        <v>2682641</v>
      </c>
      <c r="H749" s="212">
        <v>702</v>
      </c>
      <c r="I749" s="212">
        <v>392418</v>
      </c>
      <c r="J749" s="212">
        <v>2290223</v>
      </c>
    </row>
    <row r="750" spans="1:10" ht="14.1" customHeight="1" x14ac:dyDescent="0.15">
      <c r="A750" s="221"/>
      <c r="B750" s="221"/>
      <c r="C750" s="221"/>
      <c r="D750" s="210" t="s">
        <v>140</v>
      </c>
      <c r="E750" s="212">
        <v>315</v>
      </c>
      <c r="F750" s="212">
        <v>5805</v>
      </c>
      <c r="G750" s="212">
        <v>1828575</v>
      </c>
      <c r="H750" s="212">
        <v>702</v>
      </c>
      <c r="I750" s="212">
        <v>221130</v>
      </c>
      <c r="J750" s="212">
        <v>1607445</v>
      </c>
    </row>
    <row r="751" spans="1:10" ht="14.1" customHeight="1" x14ac:dyDescent="0.15">
      <c r="A751" s="221"/>
      <c r="B751" s="220" t="s">
        <v>168</v>
      </c>
      <c r="C751" s="223" t="s">
        <v>67</v>
      </c>
      <c r="D751" s="210" t="s">
        <v>144</v>
      </c>
      <c r="E751" s="212">
        <v>19</v>
      </c>
      <c r="F751" s="212">
        <v>44986</v>
      </c>
      <c r="G751" s="212">
        <v>854734</v>
      </c>
      <c r="H751" s="212">
        <v>925</v>
      </c>
      <c r="I751" s="212">
        <v>17575</v>
      </c>
      <c r="J751" s="212">
        <v>837159</v>
      </c>
    </row>
    <row r="752" spans="1:10" ht="14.1" customHeight="1" x14ac:dyDescent="0.15">
      <c r="A752" s="221"/>
      <c r="B752" s="221"/>
      <c r="C752" s="221"/>
      <c r="D752" s="210" t="s">
        <v>145</v>
      </c>
      <c r="E752" s="212">
        <v>35</v>
      </c>
      <c r="F752" s="212">
        <v>26911</v>
      </c>
      <c r="G752" s="212">
        <v>941885</v>
      </c>
      <c r="H752" s="212">
        <v>925</v>
      </c>
      <c r="I752" s="212">
        <v>32375</v>
      </c>
      <c r="J752" s="212">
        <v>909510</v>
      </c>
    </row>
    <row r="753" spans="1:10" ht="14.1" customHeight="1" x14ac:dyDescent="0.15">
      <c r="A753" s="221"/>
      <c r="B753" s="221"/>
      <c r="C753" s="221"/>
      <c r="D753" s="210" t="s">
        <v>85</v>
      </c>
      <c r="E753" s="212">
        <v>11</v>
      </c>
      <c r="F753" s="212">
        <v>26911</v>
      </c>
      <c r="G753" s="212">
        <v>296021</v>
      </c>
      <c r="H753" s="212">
        <v>925</v>
      </c>
      <c r="I753" s="212">
        <v>10175</v>
      </c>
      <c r="J753" s="212">
        <v>285846</v>
      </c>
    </row>
    <row r="754" spans="1:10" ht="14.1" customHeight="1" x14ac:dyDescent="0.15">
      <c r="A754" s="221"/>
      <c r="B754" s="221"/>
      <c r="C754" s="221"/>
      <c r="D754" s="210" t="s">
        <v>141</v>
      </c>
      <c r="E754" s="212">
        <v>38</v>
      </c>
      <c r="F754" s="212">
        <v>13127</v>
      </c>
      <c r="G754" s="212">
        <v>498826</v>
      </c>
      <c r="H754" s="212">
        <v>925</v>
      </c>
      <c r="I754" s="212">
        <v>35150</v>
      </c>
      <c r="J754" s="212">
        <v>463676</v>
      </c>
    </row>
    <row r="755" spans="1:10" ht="14.1" customHeight="1" x14ac:dyDescent="0.15">
      <c r="A755" s="221"/>
      <c r="B755" s="221"/>
      <c r="C755" s="221"/>
      <c r="D755" s="210" t="s">
        <v>78</v>
      </c>
      <c r="E755" s="212">
        <v>4</v>
      </c>
      <c r="F755" s="212">
        <v>13127</v>
      </c>
      <c r="G755" s="212">
        <v>52508</v>
      </c>
      <c r="H755" s="212">
        <v>925</v>
      </c>
      <c r="I755" s="212">
        <v>3700</v>
      </c>
      <c r="J755" s="212">
        <v>48808</v>
      </c>
    </row>
    <row r="756" spans="1:10" ht="14.1" customHeight="1" x14ac:dyDescent="0.15">
      <c r="A756" s="221"/>
      <c r="B756" s="221"/>
      <c r="C756" s="221"/>
      <c r="D756" s="210" t="s">
        <v>146</v>
      </c>
      <c r="E756" s="212">
        <v>19</v>
      </c>
      <c r="F756" s="212">
        <v>10040</v>
      </c>
      <c r="G756" s="212">
        <v>190760</v>
      </c>
      <c r="H756" s="212">
        <v>925</v>
      </c>
      <c r="I756" s="212">
        <v>17575</v>
      </c>
      <c r="J756" s="212">
        <v>173185</v>
      </c>
    </row>
    <row r="757" spans="1:10" ht="14.1" customHeight="1" x14ac:dyDescent="0.15">
      <c r="A757" s="221"/>
      <c r="B757" s="221"/>
      <c r="C757" s="221"/>
      <c r="D757" s="210" t="s">
        <v>83</v>
      </c>
      <c r="E757" s="212">
        <v>2</v>
      </c>
      <c r="F757" s="212">
        <v>10040</v>
      </c>
      <c r="G757" s="212">
        <v>20080</v>
      </c>
      <c r="H757" s="212">
        <v>925</v>
      </c>
      <c r="I757" s="212">
        <v>1850</v>
      </c>
      <c r="J757" s="212">
        <v>18230</v>
      </c>
    </row>
    <row r="758" spans="1:10" ht="14.1" customHeight="1" x14ac:dyDescent="0.15">
      <c r="A758" s="221"/>
      <c r="B758" s="221"/>
      <c r="C758" s="221"/>
      <c r="D758" s="210" t="s">
        <v>136</v>
      </c>
      <c r="E758" s="212">
        <v>39</v>
      </c>
      <c r="F758" s="212">
        <v>6828</v>
      </c>
      <c r="G758" s="212">
        <v>266292</v>
      </c>
      <c r="H758" s="212">
        <v>925</v>
      </c>
      <c r="I758" s="212">
        <v>36075</v>
      </c>
      <c r="J758" s="212">
        <v>230217</v>
      </c>
    </row>
    <row r="759" spans="1:10" ht="14.1" customHeight="1" x14ac:dyDescent="0.15">
      <c r="A759" s="221"/>
      <c r="B759" s="221"/>
      <c r="C759" s="221"/>
      <c r="D759" s="210" t="s">
        <v>77</v>
      </c>
      <c r="E759" s="212">
        <v>623</v>
      </c>
      <c r="F759" s="212">
        <v>6828</v>
      </c>
      <c r="G759" s="212">
        <v>4253844</v>
      </c>
      <c r="H759" s="212">
        <v>925</v>
      </c>
      <c r="I759" s="212">
        <v>576275</v>
      </c>
      <c r="J759" s="212">
        <v>3677569</v>
      </c>
    </row>
    <row r="760" spans="1:10" ht="14.1" customHeight="1" x14ac:dyDescent="0.15">
      <c r="A760" s="221"/>
      <c r="B760" s="221"/>
      <c r="C760" s="221"/>
      <c r="D760" s="210" t="s">
        <v>148</v>
      </c>
      <c r="E760" s="212">
        <v>2</v>
      </c>
      <c r="F760" s="212">
        <v>1205</v>
      </c>
      <c r="G760" s="212">
        <v>2410</v>
      </c>
      <c r="H760" s="212">
        <v>925</v>
      </c>
      <c r="I760" s="212">
        <v>1850</v>
      </c>
      <c r="J760" s="212">
        <v>560</v>
      </c>
    </row>
    <row r="761" spans="1:10" ht="14.1" customHeight="1" x14ac:dyDescent="0.15">
      <c r="A761" s="221"/>
      <c r="B761" s="221"/>
      <c r="C761" s="221"/>
      <c r="D761" s="210" t="s">
        <v>89</v>
      </c>
      <c r="E761" s="212">
        <v>1</v>
      </c>
      <c r="F761" s="212">
        <v>1205</v>
      </c>
      <c r="G761" s="212">
        <v>1205</v>
      </c>
      <c r="H761" s="212">
        <v>925</v>
      </c>
      <c r="I761" s="212">
        <v>925</v>
      </c>
      <c r="J761" s="212">
        <v>280</v>
      </c>
    </row>
    <row r="762" spans="1:10" ht="29.1" customHeight="1" x14ac:dyDescent="0.15">
      <c r="A762" s="221"/>
      <c r="B762" s="221"/>
      <c r="C762" s="222" t="s">
        <v>159</v>
      </c>
      <c r="D762" s="210" t="s">
        <v>101</v>
      </c>
      <c r="E762" s="212">
        <v>1</v>
      </c>
      <c r="F762" s="212">
        <v>46407</v>
      </c>
      <c r="G762" s="212">
        <v>46407</v>
      </c>
      <c r="H762" s="212">
        <v>2346</v>
      </c>
      <c r="I762" s="212">
        <v>2346</v>
      </c>
      <c r="J762" s="212">
        <v>44061</v>
      </c>
    </row>
    <row r="763" spans="1:10" ht="14.1" customHeight="1" x14ac:dyDescent="0.15">
      <c r="A763" s="221"/>
      <c r="B763" s="221"/>
      <c r="C763" s="221"/>
      <c r="D763" s="210" t="s">
        <v>79</v>
      </c>
      <c r="E763" s="212">
        <v>11</v>
      </c>
      <c r="F763" s="212">
        <v>28332</v>
      </c>
      <c r="G763" s="212">
        <v>311652</v>
      </c>
      <c r="H763" s="212">
        <v>2346</v>
      </c>
      <c r="I763" s="212">
        <v>25806</v>
      </c>
      <c r="J763" s="212">
        <v>285846</v>
      </c>
    </row>
    <row r="764" spans="1:10" ht="14.1" customHeight="1" x14ac:dyDescent="0.15">
      <c r="A764" s="221"/>
      <c r="B764" s="221"/>
      <c r="C764" s="221"/>
      <c r="D764" s="210" t="s">
        <v>73</v>
      </c>
      <c r="E764" s="212">
        <v>5</v>
      </c>
      <c r="F764" s="212">
        <v>14548</v>
      </c>
      <c r="G764" s="212">
        <v>72740</v>
      </c>
      <c r="H764" s="212">
        <v>2346</v>
      </c>
      <c r="I764" s="212">
        <v>11730</v>
      </c>
      <c r="J764" s="212">
        <v>61010</v>
      </c>
    </row>
    <row r="765" spans="1:10" ht="14.1" customHeight="1" x14ac:dyDescent="0.15">
      <c r="A765" s="221"/>
      <c r="B765" s="221"/>
      <c r="C765" s="221"/>
      <c r="D765" s="210" t="s">
        <v>74</v>
      </c>
      <c r="E765" s="212">
        <v>17</v>
      </c>
      <c r="F765" s="212">
        <v>11461</v>
      </c>
      <c r="G765" s="212">
        <v>194837</v>
      </c>
      <c r="H765" s="212">
        <v>2346</v>
      </c>
      <c r="I765" s="212">
        <v>39882</v>
      </c>
      <c r="J765" s="212">
        <v>154955</v>
      </c>
    </row>
    <row r="766" spans="1:10" ht="14.1" customHeight="1" x14ac:dyDescent="0.15">
      <c r="A766" s="221"/>
      <c r="B766" s="221"/>
      <c r="C766" s="221"/>
      <c r="D766" s="210" t="s">
        <v>71</v>
      </c>
      <c r="E766" s="212">
        <v>34</v>
      </c>
      <c r="F766" s="212">
        <v>8249</v>
      </c>
      <c r="G766" s="212">
        <v>280466</v>
      </c>
      <c r="H766" s="212">
        <v>2346</v>
      </c>
      <c r="I766" s="212">
        <v>79764</v>
      </c>
      <c r="J766" s="212">
        <v>200702</v>
      </c>
    </row>
    <row r="767" spans="1:10" ht="29.1" customHeight="1" x14ac:dyDescent="0.15">
      <c r="A767" s="221"/>
      <c r="B767" s="221"/>
      <c r="C767" s="222" t="s">
        <v>161</v>
      </c>
      <c r="D767" s="210" t="s">
        <v>88</v>
      </c>
      <c r="E767" s="212">
        <v>1</v>
      </c>
      <c r="F767" s="212">
        <v>61914</v>
      </c>
      <c r="G767" s="212">
        <v>61914</v>
      </c>
      <c r="H767" s="212">
        <v>1627</v>
      </c>
      <c r="I767" s="212">
        <v>1627</v>
      </c>
      <c r="J767" s="212">
        <v>60287</v>
      </c>
    </row>
    <row r="768" spans="1:10" ht="14.1" customHeight="1" x14ac:dyDescent="0.15">
      <c r="A768" s="221"/>
      <c r="B768" s="221"/>
      <c r="C768" s="221"/>
      <c r="D768" s="210" t="s">
        <v>101</v>
      </c>
      <c r="E768" s="212">
        <v>733</v>
      </c>
      <c r="F768" s="212">
        <v>45688</v>
      </c>
      <c r="G768" s="212">
        <v>33489304</v>
      </c>
      <c r="H768" s="212">
        <v>1627</v>
      </c>
      <c r="I768" s="212">
        <v>1192591</v>
      </c>
      <c r="J768" s="212">
        <v>32296713</v>
      </c>
    </row>
    <row r="769" spans="1:10" ht="14.1" customHeight="1" x14ac:dyDescent="0.15">
      <c r="A769" s="221"/>
      <c r="B769" s="221"/>
      <c r="C769" s="221"/>
      <c r="D769" s="210" t="s">
        <v>79</v>
      </c>
      <c r="E769" s="212">
        <v>3513</v>
      </c>
      <c r="F769" s="212">
        <v>27613</v>
      </c>
      <c r="G769" s="212">
        <v>97004469</v>
      </c>
      <c r="H769" s="212">
        <v>1627</v>
      </c>
      <c r="I769" s="212">
        <v>5715651</v>
      </c>
      <c r="J769" s="212">
        <v>91288818</v>
      </c>
    </row>
    <row r="770" spans="1:10" ht="14.1" customHeight="1" x14ac:dyDescent="0.15">
      <c r="A770" s="221"/>
      <c r="B770" s="221"/>
      <c r="C770" s="221"/>
      <c r="D770" s="210" t="s">
        <v>73</v>
      </c>
      <c r="E770" s="212">
        <v>3032</v>
      </c>
      <c r="F770" s="212">
        <v>13829</v>
      </c>
      <c r="G770" s="212">
        <v>41929528</v>
      </c>
      <c r="H770" s="212">
        <v>1627</v>
      </c>
      <c r="I770" s="212">
        <v>4933064</v>
      </c>
      <c r="J770" s="212">
        <v>36996464</v>
      </c>
    </row>
    <row r="771" spans="1:10" ht="14.1" customHeight="1" x14ac:dyDescent="0.15">
      <c r="A771" s="221"/>
      <c r="B771" s="221"/>
      <c r="C771" s="221"/>
      <c r="D771" s="210" t="s">
        <v>74</v>
      </c>
      <c r="E771" s="212">
        <v>3668</v>
      </c>
      <c r="F771" s="212">
        <v>10742</v>
      </c>
      <c r="G771" s="212">
        <v>39401656</v>
      </c>
      <c r="H771" s="212">
        <v>1627</v>
      </c>
      <c r="I771" s="212">
        <v>5967836</v>
      </c>
      <c r="J771" s="212">
        <v>33433820</v>
      </c>
    </row>
    <row r="772" spans="1:10" ht="14.1" customHeight="1" x14ac:dyDescent="0.15">
      <c r="A772" s="221"/>
      <c r="B772" s="221"/>
      <c r="C772" s="221"/>
      <c r="D772" s="210" t="s">
        <v>71</v>
      </c>
      <c r="E772" s="212">
        <v>3671</v>
      </c>
      <c r="F772" s="212">
        <v>7530</v>
      </c>
      <c r="G772" s="212">
        <v>27642630</v>
      </c>
      <c r="H772" s="212">
        <v>1627</v>
      </c>
      <c r="I772" s="212">
        <v>5972717</v>
      </c>
      <c r="J772" s="212">
        <v>21669913</v>
      </c>
    </row>
    <row r="773" spans="1:10" ht="14.1" customHeight="1" x14ac:dyDescent="0.15">
      <c r="A773" s="221"/>
      <c r="B773" s="221"/>
      <c r="C773" s="221"/>
      <c r="D773" s="210" t="s">
        <v>72</v>
      </c>
      <c r="E773" s="212">
        <v>21</v>
      </c>
      <c r="F773" s="212">
        <v>4953</v>
      </c>
      <c r="G773" s="212">
        <v>104013</v>
      </c>
      <c r="H773" s="212">
        <v>1627</v>
      </c>
      <c r="I773" s="212">
        <v>34167</v>
      </c>
      <c r="J773" s="212">
        <v>69846</v>
      </c>
    </row>
    <row r="774" spans="1:10" ht="14.1" customHeight="1" x14ac:dyDescent="0.15">
      <c r="A774" s="221"/>
      <c r="B774" s="221"/>
      <c r="C774" s="221"/>
      <c r="D774" s="210" t="s">
        <v>75</v>
      </c>
      <c r="E774" s="212">
        <v>85</v>
      </c>
      <c r="F774" s="212">
        <v>1907</v>
      </c>
      <c r="G774" s="212">
        <v>162095</v>
      </c>
      <c r="H774" s="212">
        <v>1627</v>
      </c>
      <c r="I774" s="212">
        <v>138295</v>
      </c>
      <c r="J774" s="212">
        <v>23800</v>
      </c>
    </row>
    <row r="775" spans="1:10" ht="29.1" customHeight="1" x14ac:dyDescent="0.15">
      <c r="A775" s="222" t="s">
        <v>117</v>
      </c>
      <c r="B775" s="221" t="s">
        <v>53</v>
      </c>
      <c r="C775" s="221"/>
      <c r="D775" s="221"/>
      <c r="E775" s="212">
        <v>49</v>
      </c>
      <c r="F775" s="212">
        <v>17847</v>
      </c>
      <c r="G775" s="212">
        <v>240039</v>
      </c>
      <c r="H775" s="212"/>
      <c r="I775" s="212">
        <v>36555</v>
      </c>
      <c r="J775" s="212">
        <v>203484</v>
      </c>
    </row>
    <row r="776" spans="1:10" ht="14.1" customHeight="1" x14ac:dyDescent="0.15">
      <c r="A776" s="221"/>
      <c r="B776" s="210" t="s">
        <v>63</v>
      </c>
      <c r="C776" s="210" t="s">
        <v>64</v>
      </c>
      <c r="D776" s="210" t="s">
        <v>65</v>
      </c>
      <c r="E776" s="218">
        <v>3</v>
      </c>
      <c r="F776" s="218">
        <v>5518</v>
      </c>
      <c r="G776" s="218">
        <v>16554</v>
      </c>
      <c r="H776" s="218">
        <v>1421</v>
      </c>
      <c r="I776" s="218">
        <v>4263</v>
      </c>
      <c r="J776" s="218">
        <v>12291</v>
      </c>
    </row>
    <row r="777" spans="1:10" ht="42.95" customHeight="1" x14ac:dyDescent="0.15">
      <c r="A777" s="221"/>
      <c r="B777" s="222" t="s">
        <v>215</v>
      </c>
      <c r="C777" s="209" t="s">
        <v>159</v>
      </c>
      <c r="D777" s="210" t="s">
        <v>139</v>
      </c>
      <c r="E777" s="219"/>
      <c r="F777" s="219"/>
      <c r="G777" s="219"/>
      <c r="H777" s="219"/>
      <c r="I777" s="219"/>
      <c r="J777" s="219"/>
    </row>
    <row r="778" spans="1:10" ht="29.1" customHeight="1" x14ac:dyDescent="0.15">
      <c r="A778" s="221"/>
      <c r="B778" s="221"/>
      <c r="C778" s="222" t="s">
        <v>161</v>
      </c>
      <c r="D778" s="210" t="s">
        <v>71</v>
      </c>
      <c r="E778" s="212">
        <v>1</v>
      </c>
      <c r="F778" s="212">
        <v>7530</v>
      </c>
      <c r="G778" s="212">
        <v>7530</v>
      </c>
      <c r="H778" s="212">
        <v>702</v>
      </c>
      <c r="I778" s="212">
        <v>702</v>
      </c>
      <c r="J778" s="212">
        <v>6828</v>
      </c>
    </row>
    <row r="779" spans="1:10" ht="14.1" customHeight="1" x14ac:dyDescent="0.15">
      <c r="A779" s="221"/>
      <c r="B779" s="221"/>
      <c r="C779" s="221"/>
      <c r="D779" s="210" t="s">
        <v>139</v>
      </c>
      <c r="E779" s="212">
        <v>45</v>
      </c>
      <c r="F779" s="212">
        <v>4799</v>
      </c>
      <c r="G779" s="212">
        <v>215955</v>
      </c>
      <c r="H779" s="212">
        <v>702</v>
      </c>
      <c r="I779" s="212">
        <v>31590</v>
      </c>
      <c r="J779" s="212">
        <v>184365</v>
      </c>
    </row>
    <row r="780" spans="1:10" ht="29.1" customHeight="1" x14ac:dyDescent="0.15">
      <c r="A780" s="222" t="s">
        <v>157</v>
      </c>
      <c r="B780" s="221" t="s">
        <v>53</v>
      </c>
      <c r="C780" s="221"/>
      <c r="D780" s="221"/>
      <c r="E780" s="212">
        <v>72942</v>
      </c>
      <c r="F780" s="212">
        <v>1620372</v>
      </c>
      <c r="G780" s="212">
        <v>912028229</v>
      </c>
      <c r="H780" s="212"/>
      <c r="I780" s="212">
        <v>96584178</v>
      </c>
      <c r="J780" s="212">
        <v>815444051</v>
      </c>
    </row>
    <row r="781" spans="1:10" ht="14.1" customHeight="1" x14ac:dyDescent="0.15">
      <c r="A781" s="221"/>
      <c r="B781" s="210" t="s">
        <v>63</v>
      </c>
      <c r="C781" s="210" t="s">
        <v>64</v>
      </c>
      <c r="D781" s="210" t="s">
        <v>65</v>
      </c>
      <c r="E781" s="218">
        <v>48</v>
      </c>
      <c r="F781" s="218">
        <v>10139</v>
      </c>
      <c r="G781" s="218">
        <v>486672</v>
      </c>
      <c r="H781" s="218">
        <v>0</v>
      </c>
      <c r="I781" s="218">
        <v>0</v>
      </c>
      <c r="J781" s="218">
        <v>486672</v>
      </c>
    </row>
    <row r="782" spans="1:10" ht="14.1" customHeight="1" x14ac:dyDescent="0.15">
      <c r="A782" s="221"/>
      <c r="B782" s="220" t="s">
        <v>66</v>
      </c>
      <c r="C782" s="223" t="s">
        <v>67</v>
      </c>
      <c r="D782" s="210" t="s">
        <v>134</v>
      </c>
      <c r="E782" s="219"/>
      <c r="F782" s="219"/>
      <c r="G782" s="219"/>
      <c r="H782" s="219"/>
      <c r="I782" s="219"/>
      <c r="J782" s="219"/>
    </row>
    <row r="783" spans="1:10" ht="14.1" customHeight="1" x14ac:dyDescent="0.15">
      <c r="A783" s="221"/>
      <c r="B783" s="221"/>
      <c r="C783" s="221"/>
      <c r="D783" s="210" t="s">
        <v>132</v>
      </c>
      <c r="E783" s="212">
        <v>22</v>
      </c>
      <c r="F783" s="212">
        <v>10139</v>
      </c>
      <c r="G783" s="212">
        <v>223058</v>
      </c>
      <c r="H783" s="212">
        <v>0</v>
      </c>
      <c r="I783" s="212">
        <v>0</v>
      </c>
      <c r="J783" s="212">
        <v>223058</v>
      </c>
    </row>
    <row r="784" spans="1:10" ht="29.1" customHeight="1" x14ac:dyDescent="0.15">
      <c r="A784" s="221"/>
      <c r="B784" s="221"/>
      <c r="C784" s="209" t="s">
        <v>159</v>
      </c>
      <c r="D784" s="210" t="s">
        <v>133</v>
      </c>
      <c r="E784" s="212">
        <v>25</v>
      </c>
      <c r="F784" s="212">
        <v>11560</v>
      </c>
      <c r="G784" s="212">
        <v>289000</v>
      </c>
      <c r="H784" s="212">
        <v>2346</v>
      </c>
      <c r="I784" s="212">
        <v>58650</v>
      </c>
      <c r="J784" s="212">
        <v>230350</v>
      </c>
    </row>
    <row r="785" spans="1:10" ht="29.1" customHeight="1" x14ac:dyDescent="0.15">
      <c r="A785" s="221"/>
      <c r="B785" s="221"/>
      <c r="C785" s="209" t="s">
        <v>160</v>
      </c>
      <c r="D785" s="210" t="s">
        <v>133</v>
      </c>
      <c r="E785" s="212">
        <v>40</v>
      </c>
      <c r="F785" s="212">
        <v>11257</v>
      </c>
      <c r="G785" s="212">
        <v>450265</v>
      </c>
      <c r="H785" s="212">
        <v>2292</v>
      </c>
      <c r="I785" s="212">
        <v>91680</v>
      </c>
      <c r="J785" s="212">
        <v>358585</v>
      </c>
    </row>
    <row r="786" spans="1:10" ht="29.1" customHeight="1" x14ac:dyDescent="0.15">
      <c r="A786" s="221"/>
      <c r="B786" s="221"/>
      <c r="C786" s="209" t="s">
        <v>161</v>
      </c>
      <c r="D786" s="210" t="s">
        <v>133</v>
      </c>
      <c r="E786" s="212">
        <v>6566</v>
      </c>
      <c r="F786" s="212">
        <v>10841</v>
      </c>
      <c r="G786" s="212">
        <v>71182006</v>
      </c>
      <c r="H786" s="212">
        <v>1627</v>
      </c>
      <c r="I786" s="212">
        <v>10682882</v>
      </c>
      <c r="J786" s="212">
        <v>60499124</v>
      </c>
    </row>
    <row r="787" spans="1:10" ht="29.1" customHeight="1" x14ac:dyDescent="0.15">
      <c r="A787" s="221"/>
      <c r="B787" s="213" t="s">
        <v>76</v>
      </c>
      <c r="C787" s="209" t="s">
        <v>161</v>
      </c>
      <c r="D787" s="210" t="s">
        <v>71</v>
      </c>
      <c r="E787" s="212">
        <v>1</v>
      </c>
      <c r="F787" s="212">
        <v>7530</v>
      </c>
      <c r="G787" s="212">
        <v>7530</v>
      </c>
      <c r="H787" s="212">
        <v>702</v>
      </c>
      <c r="I787" s="212">
        <v>702</v>
      </c>
      <c r="J787" s="212">
        <v>6828</v>
      </c>
    </row>
    <row r="788" spans="1:10" ht="14.1" customHeight="1" x14ac:dyDescent="0.15">
      <c r="A788" s="221"/>
      <c r="B788" s="220" t="s">
        <v>162</v>
      </c>
      <c r="C788" s="223" t="s">
        <v>108</v>
      </c>
      <c r="D788" s="210" t="s">
        <v>163</v>
      </c>
      <c r="E788" s="212">
        <v>1148</v>
      </c>
      <c r="F788" s="212">
        <v>23712</v>
      </c>
      <c r="G788" s="212">
        <v>27221376</v>
      </c>
      <c r="H788" s="212">
        <v>3932</v>
      </c>
      <c r="I788" s="212">
        <v>4513936</v>
      </c>
      <c r="J788" s="212">
        <v>22707440</v>
      </c>
    </row>
    <row r="789" spans="1:10" ht="14.1" customHeight="1" x14ac:dyDescent="0.15">
      <c r="A789" s="221"/>
      <c r="B789" s="221"/>
      <c r="C789" s="221"/>
      <c r="D789" s="210" t="s">
        <v>165</v>
      </c>
      <c r="E789" s="212">
        <v>1792</v>
      </c>
      <c r="F789" s="212">
        <v>20422</v>
      </c>
      <c r="G789" s="212">
        <v>36596224</v>
      </c>
      <c r="H789" s="212">
        <v>3932</v>
      </c>
      <c r="I789" s="212">
        <v>7046144</v>
      </c>
      <c r="J789" s="212">
        <v>29550080</v>
      </c>
    </row>
    <row r="790" spans="1:10" ht="42.95" customHeight="1" x14ac:dyDescent="0.15">
      <c r="A790" s="221"/>
      <c r="B790" s="222" t="s">
        <v>215</v>
      </c>
      <c r="C790" s="223" t="s">
        <v>67</v>
      </c>
      <c r="D790" s="210" t="s">
        <v>152</v>
      </c>
      <c r="E790" s="212">
        <v>2</v>
      </c>
      <c r="F790" s="212">
        <v>61212</v>
      </c>
      <c r="G790" s="212">
        <v>122424</v>
      </c>
      <c r="H790" s="212">
        <v>0</v>
      </c>
      <c r="I790" s="212">
        <v>0</v>
      </c>
      <c r="J790" s="212">
        <v>122424</v>
      </c>
    </row>
    <row r="791" spans="1:10" ht="14.1" customHeight="1" x14ac:dyDescent="0.15">
      <c r="A791" s="221"/>
      <c r="B791" s="221"/>
      <c r="C791" s="221"/>
      <c r="D791" s="210" t="s">
        <v>104</v>
      </c>
      <c r="E791" s="212">
        <v>3</v>
      </c>
      <c r="F791" s="212">
        <v>61212</v>
      </c>
      <c r="G791" s="212">
        <v>183636</v>
      </c>
      <c r="H791" s="212">
        <v>0</v>
      </c>
      <c r="I791" s="212">
        <v>0</v>
      </c>
      <c r="J791" s="212">
        <v>183636</v>
      </c>
    </row>
    <row r="792" spans="1:10" ht="14.1" customHeight="1" x14ac:dyDescent="0.15">
      <c r="A792" s="221"/>
      <c r="B792" s="221"/>
      <c r="C792" s="221"/>
      <c r="D792" s="210" t="s">
        <v>145</v>
      </c>
      <c r="E792" s="212">
        <v>16</v>
      </c>
      <c r="F792" s="212">
        <v>26911</v>
      </c>
      <c r="G792" s="212">
        <v>430576</v>
      </c>
      <c r="H792" s="212">
        <v>0</v>
      </c>
      <c r="I792" s="212">
        <v>0</v>
      </c>
      <c r="J792" s="212">
        <v>430576</v>
      </c>
    </row>
    <row r="793" spans="1:10" ht="14.1" customHeight="1" x14ac:dyDescent="0.15">
      <c r="A793" s="221"/>
      <c r="B793" s="221"/>
      <c r="C793" s="221"/>
      <c r="D793" s="210" t="s">
        <v>85</v>
      </c>
      <c r="E793" s="212">
        <v>59</v>
      </c>
      <c r="F793" s="212">
        <v>26911</v>
      </c>
      <c r="G793" s="212">
        <v>1587749</v>
      </c>
      <c r="H793" s="212">
        <v>0</v>
      </c>
      <c r="I793" s="212">
        <v>0</v>
      </c>
      <c r="J793" s="212">
        <v>1587749</v>
      </c>
    </row>
    <row r="794" spans="1:10" ht="14.1" customHeight="1" x14ac:dyDescent="0.15">
      <c r="A794" s="221"/>
      <c r="B794" s="221"/>
      <c r="C794" s="221"/>
      <c r="D794" s="210" t="s">
        <v>141</v>
      </c>
      <c r="E794" s="212">
        <v>30</v>
      </c>
      <c r="F794" s="212">
        <v>13127</v>
      </c>
      <c r="G794" s="212">
        <v>393810</v>
      </c>
      <c r="H794" s="212">
        <v>0</v>
      </c>
      <c r="I794" s="212">
        <v>0</v>
      </c>
      <c r="J794" s="212">
        <v>393810</v>
      </c>
    </row>
    <row r="795" spans="1:10" ht="14.1" customHeight="1" x14ac:dyDescent="0.15">
      <c r="A795" s="221"/>
      <c r="B795" s="221"/>
      <c r="C795" s="221"/>
      <c r="D795" s="210" t="s">
        <v>78</v>
      </c>
      <c r="E795" s="212">
        <v>272</v>
      </c>
      <c r="F795" s="212">
        <v>13127</v>
      </c>
      <c r="G795" s="212">
        <v>3570544</v>
      </c>
      <c r="H795" s="212">
        <v>0</v>
      </c>
      <c r="I795" s="212">
        <v>0</v>
      </c>
      <c r="J795" s="212">
        <v>3570544</v>
      </c>
    </row>
    <row r="796" spans="1:10" ht="14.1" customHeight="1" x14ac:dyDescent="0.15">
      <c r="A796" s="221"/>
      <c r="B796" s="221"/>
      <c r="C796" s="221"/>
      <c r="D796" s="210" t="s">
        <v>146</v>
      </c>
      <c r="E796" s="212">
        <v>23</v>
      </c>
      <c r="F796" s="212">
        <v>10040</v>
      </c>
      <c r="G796" s="212">
        <v>230920</v>
      </c>
      <c r="H796" s="212">
        <v>0</v>
      </c>
      <c r="I796" s="212">
        <v>0</v>
      </c>
      <c r="J796" s="212">
        <v>230920</v>
      </c>
    </row>
    <row r="797" spans="1:10" ht="14.1" customHeight="1" x14ac:dyDescent="0.15">
      <c r="A797" s="221"/>
      <c r="B797" s="221"/>
      <c r="C797" s="221"/>
      <c r="D797" s="210" t="s">
        <v>83</v>
      </c>
      <c r="E797" s="212">
        <v>22</v>
      </c>
      <c r="F797" s="212">
        <v>10040</v>
      </c>
      <c r="G797" s="212">
        <v>220880</v>
      </c>
      <c r="H797" s="212">
        <v>0</v>
      </c>
      <c r="I797" s="212">
        <v>0</v>
      </c>
      <c r="J797" s="212">
        <v>220880</v>
      </c>
    </row>
    <row r="798" spans="1:10" ht="14.1" customHeight="1" x14ac:dyDescent="0.15">
      <c r="A798" s="221"/>
      <c r="B798" s="221"/>
      <c r="C798" s="221"/>
      <c r="D798" s="210" t="s">
        <v>136</v>
      </c>
      <c r="E798" s="212">
        <v>21</v>
      </c>
      <c r="F798" s="212">
        <v>6828</v>
      </c>
      <c r="G798" s="212">
        <v>143388</v>
      </c>
      <c r="H798" s="212">
        <v>0</v>
      </c>
      <c r="I798" s="212">
        <v>0</v>
      </c>
      <c r="J798" s="212">
        <v>143388</v>
      </c>
    </row>
    <row r="799" spans="1:10" ht="14.1" customHeight="1" x14ac:dyDescent="0.15">
      <c r="A799" s="221"/>
      <c r="B799" s="221"/>
      <c r="C799" s="221"/>
      <c r="D799" s="210" t="s">
        <v>77</v>
      </c>
      <c r="E799" s="212">
        <v>20</v>
      </c>
      <c r="F799" s="212">
        <v>6828</v>
      </c>
      <c r="G799" s="212">
        <v>136560</v>
      </c>
      <c r="H799" s="212">
        <v>0</v>
      </c>
      <c r="I799" s="212">
        <v>0</v>
      </c>
      <c r="J799" s="212">
        <v>136560</v>
      </c>
    </row>
    <row r="800" spans="1:10" ht="14.1" customHeight="1" x14ac:dyDescent="0.15">
      <c r="A800" s="221"/>
      <c r="B800" s="221"/>
      <c r="C800" s="221"/>
      <c r="D800" s="210" t="s">
        <v>147</v>
      </c>
      <c r="E800" s="212">
        <v>8</v>
      </c>
      <c r="F800" s="212">
        <v>2410</v>
      </c>
      <c r="G800" s="212">
        <v>19280</v>
      </c>
      <c r="H800" s="212">
        <v>0</v>
      </c>
      <c r="I800" s="212">
        <v>0</v>
      </c>
      <c r="J800" s="212">
        <v>19280</v>
      </c>
    </row>
    <row r="801" spans="1:10" ht="14.1" customHeight="1" x14ac:dyDescent="0.15">
      <c r="A801" s="221"/>
      <c r="B801" s="221"/>
      <c r="C801" s="221"/>
      <c r="D801" s="210" t="s">
        <v>84</v>
      </c>
      <c r="E801" s="212">
        <v>23</v>
      </c>
      <c r="F801" s="212">
        <v>2410</v>
      </c>
      <c r="G801" s="212">
        <v>55430</v>
      </c>
      <c r="H801" s="212">
        <v>0</v>
      </c>
      <c r="I801" s="212">
        <v>0</v>
      </c>
      <c r="J801" s="212">
        <v>55430</v>
      </c>
    </row>
    <row r="802" spans="1:10" ht="14.1" customHeight="1" x14ac:dyDescent="0.15">
      <c r="A802" s="221"/>
      <c r="B802" s="221"/>
      <c r="C802" s="221"/>
      <c r="D802" s="210" t="s">
        <v>148</v>
      </c>
      <c r="E802" s="212">
        <v>2</v>
      </c>
      <c r="F802" s="212">
        <v>1205</v>
      </c>
      <c r="G802" s="212">
        <v>2410</v>
      </c>
      <c r="H802" s="212">
        <v>0</v>
      </c>
      <c r="I802" s="212">
        <v>0</v>
      </c>
      <c r="J802" s="212">
        <v>2410</v>
      </c>
    </row>
    <row r="803" spans="1:10" ht="14.1" customHeight="1" x14ac:dyDescent="0.15">
      <c r="A803" s="221"/>
      <c r="B803" s="221"/>
      <c r="C803" s="221"/>
      <c r="D803" s="210" t="s">
        <v>89</v>
      </c>
      <c r="E803" s="212">
        <v>5</v>
      </c>
      <c r="F803" s="212">
        <v>1205</v>
      </c>
      <c r="G803" s="212">
        <v>6025</v>
      </c>
      <c r="H803" s="212">
        <v>0</v>
      </c>
      <c r="I803" s="212">
        <v>0</v>
      </c>
      <c r="J803" s="212">
        <v>6025</v>
      </c>
    </row>
    <row r="804" spans="1:10" ht="14.1" customHeight="1" x14ac:dyDescent="0.15">
      <c r="A804" s="221"/>
      <c r="B804" s="221"/>
      <c r="C804" s="221"/>
      <c r="D804" s="210" t="s">
        <v>142</v>
      </c>
      <c r="E804" s="212">
        <v>1</v>
      </c>
      <c r="F804" s="212">
        <v>4097</v>
      </c>
      <c r="G804" s="212">
        <v>4097</v>
      </c>
      <c r="H804" s="212">
        <v>0</v>
      </c>
      <c r="I804" s="212">
        <v>0</v>
      </c>
      <c r="J804" s="212">
        <v>4097</v>
      </c>
    </row>
    <row r="805" spans="1:10" ht="14.1" customHeight="1" x14ac:dyDescent="0.15">
      <c r="A805" s="221"/>
      <c r="B805" s="221"/>
      <c r="C805" s="221"/>
      <c r="D805" s="210" t="s">
        <v>137</v>
      </c>
      <c r="E805" s="212">
        <v>17</v>
      </c>
      <c r="F805" s="212">
        <v>4097</v>
      </c>
      <c r="G805" s="212">
        <v>69649</v>
      </c>
      <c r="H805" s="212">
        <v>0</v>
      </c>
      <c r="I805" s="212">
        <v>0</v>
      </c>
      <c r="J805" s="212">
        <v>69649</v>
      </c>
    </row>
    <row r="806" spans="1:10" ht="14.1" customHeight="1" x14ac:dyDescent="0.15">
      <c r="A806" s="221"/>
      <c r="B806" s="221"/>
      <c r="C806" s="221"/>
      <c r="D806" s="210" t="s">
        <v>143</v>
      </c>
      <c r="E806" s="212">
        <v>22</v>
      </c>
      <c r="F806" s="212">
        <v>5103</v>
      </c>
      <c r="G806" s="212">
        <v>112266</v>
      </c>
      <c r="H806" s="212">
        <v>0</v>
      </c>
      <c r="I806" s="212">
        <v>0</v>
      </c>
      <c r="J806" s="212">
        <v>112266</v>
      </c>
    </row>
    <row r="807" spans="1:10" ht="14.1" customHeight="1" x14ac:dyDescent="0.15">
      <c r="A807" s="221"/>
      <c r="B807" s="221"/>
      <c r="C807" s="221"/>
      <c r="D807" s="210" t="s">
        <v>138</v>
      </c>
      <c r="E807" s="212">
        <v>365</v>
      </c>
      <c r="F807" s="212">
        <v>5103</v>
      </c>
      <c r="G807" s="212">
        <v>1862595</v>
      </c>
      <c r="H807" s="212">
        <v>0</v>
      </c>
      <c r="I807" s="212">
        <v>0</v>
      </c>
      <c r="J807" s="212">
        <v>1862595</v>
      </c>
    </row>
    <row r="808" spans="1:10" ht="29.1" customHeight="1" x14ac:dyDescent="0.15">
      <c r="A808" s="221"/>
      <c r="B808" s="221"/>
      <c r="C808" s="222" t="s">
        <v>159</v>
      </c>
      <c r="D808" s="210" t="s">
        <v>70</v>
      </c>
      <c r="E808" s="212">
        <v>37</v>
      </c>
      <c r="F808" s="212">
        <v>3986</v>
      </c>
      <c r="G808" s="212">
        <v>147482</v>
      </c>
      <c r="H808" s="212">
        <v>1421</v>
      </c>
      <c r="I808" s="212">
        <v>52577</v>
      </c>
      <c r="J808" s="212">
        <v>94905</v>
      </c>
    </row>
    <row r="809" spans="1:10" ht="14.1" customHeight="1" x14ac:dyDescent="0.15">
      <c r="A809" s="221"/>
      <c r="B809" s="221"/>
      <c r="C809" s="221"/>
      <c r="D809" s="210" t="s">
        <v>101</v>
      </c>
      <c r="E809" s="212">
        <v>1</v>
      </c>
      <c r="F809" s="212">
        <v>46407</v>
      </c>
      <c r="G809" s="212">
        <v>46407</v>
      </c>
      <c r="H809" s="212">
        <v>1421</v>
      </c>
      <c r="I809" s="212">
        <v>1421</v>
      </c>
      <c r="J809" s="212">
        <v>44986</v>
      </c>
    </row>
    <row r="810" spans="1:10" ht="14.1" customHeight="1" x14ac:dyDescent="0.15">
      <c r="A810" s="221"/>
      <c r="B810" s="221"/>
      <c r="C810" s="221"/>
      <c r="D810" s="210" t="s">
        <v>79</v>
      </c>
      <c r="E810" s="212">
        <v>54</v>
      </c>
      <c r="F810" s="212">
        <v>28332</v>
      </c>
      <c r="G810" s="212">
        <v>1529928</v>
      </c>
      <c r="H810" s="212">
        <v>1421</v>
      </c>
      <c r="I810" s="212">
        <v>76734</v>
      </c>
      <c r="J810" s="212">
        <v>1453194</v>
      </c>
    </row>
    <row r="811" spans="1:10" ht="14.1" customHeight="1" x14ac:dyDescent="0.15">
      <c r="A811" s="221"/>
      <c r="B811" s="221"/>
      <c r="C811" s="221"/>
      <c r="D811" s="210" t="s">
        <v>73</v>
      </c>
      <c r="E811" s="212">
        <v>38</v>
      </c>
      <c r="F811" s="212">
        <v>14548</v>
      </c>
      <c r="G811" s="212">
        <v>552824</v>
      </c>
      <c r="H811" s="212">
        <v>1421</v>
      </c>
      <c r="I811" s="212">
        <v>53998</v>
      </c>
      <c r="J811" s="212">
        <v>498826</v>
      </c>
    </row>
    <row r="812" spans="1:10" ht="14.1" customHeight="1" x14ac:dyDescent="0.15">
      <c r="A812" s="221"/>
      <c r="B812" s="221"/>
      <c r="C812" s="221"/>
      <c r="D812" s="210" t="s">
        <v>74</v>
      </c>
      <c r="E812" s="212">
        <v>21</v>
      </c>
      <c r="F812" s="212">
        <v>11461</v>
      </c>
      <c r="G812" s="212">
        <v>240681</v>
      </c>
      <c r="H812" s="212">
        <v>1421</v>
      </c>
      <c r="I812" s="212">
        <v>29841</v>
      </c>
      <c r="J812" s="212">
        <v>210840</v>
      </c>
    </row>
    <row r="813" spans="1:10" ht="14.1" customHeight="1" x14ac:dyDescent="0.15">
      <c r="A813" s="221"/>
      <c r="B813" s="221"/>
      <c r="C813" s="221"/>
      <c r="D813" s="210" t="s">
        <v>71</v>
      </c>
      <c r="E813" s="212">
        <v>53</v>
      </c>
      <c r="F813" s="212">
        <v>8249</v>
      </c>
      <c r="G813" s="212">
        <v>437197</v>
      </c>
      <c r="H813" s="212">
        <v>1421</v>
      </c>
      <c r="I813" s="212">
        <v>75313</v>
      </c>
      <c r="J813" s="212">
        <v>361884</v>
      </c>
    </row>
    <row r="814" spans="1:10" ht="14.1" customHeight="1" x14ac:dyDescent="0.15">
      <c r="A814" s="221"/>
      <c r="B814" s="221"/>
      <c r="C814" s="221"/>
      <c r="D814" s="210" t="s">
        <v>72</v>
      </c>
      <c r="E814" s="212">
        <v>4</v>
      </c>
      <c r="F814" s="212">
        <v>5672</v>
      </c>
      <c r="G814" s="212">
        <v>22688</v>
      </c>
      <c r="H814" s="212">
        <v>1421</v>
      </c>
      <c r="I814" s="212">
        <v>5684</v>
      </c>
      <c r="J814" s="212">
        <v>17004</v>
      </c>
    </row>
    <row r="815" spans="1:10" ht="14.1" customHeight="1" x14ac:dyDescent="0.15">
      <c r="A815" s="221"/>
      <c r="B815" s="221"/>
      <c r="C815" s="221"/>
      <c r="D815" s="210" t="s">
        <v>82</v>
      </c>
      <c r="E815" s="212">
        <v>9</v>
      </c>
      <c r="F815" s="212">
        <v>3831</v>
      </c>
      <c r="G815" s="212">
        <v>34479</v>
      </c>
      <c r="H815" s="212">
        <v>1421</v>
      </c>
      <c r="I815" s="212">
        <v>12789</v>
      </c>
      <c r="J815" s="212">
        <v>21690</v>
      </c>
    </row>
    <row r="816" spans="1:10" ht="14.1" customHeight="1" x14ac:dyDescent="0.15">
      <c r="A816" s="221"/>
      <c r="B816" s="221"/>
      <c r="C816" s="221"/>
      <c r="D816" s="210" t="s">
        <v>69</v>
      </c>
      <c r="E816" s="212">
        <v>1</v>
      </c>
      <c r="F816" s="212">
        <v>25614</v>
      </c>
      <c r="G816" s="212">
        <v>25614</v>
      </c>
      <c r="H816" s="212">
        <v>1421</v>
      </c>
      <c r="I816" s="212">
        <v>1421</v>
      </c>
      <c r="J816" s="212">
        <v>24193</v>
      </c>
    </row>
    <row r="817" spans="1:10" ht="14.1" customHeight="1" x14ac:dyDescent="0.15">
      <c r="A817" s="221"/>
      <c r="B817" s="221"/>
      <c r="C817" s="221"/>
      <c r="D817" s="210" t="s">
        <v>139</v>
      </c>
      <c r="E817" s="212">
        <v>55</v>
      </c>
      <c r="F817" s="212">
        <v>5518</v>
      </c>
      <c r="G817" s="212">
        <v>303490</v>
      </c>
      <c r="H817" s="212">
        <v>1421</v>
      </c>
      <c r="I817" s="212">
        <v>78155</v>
      </c>
      <c r="J817" s="212">
        <v>225335</v>
      </c>
    </row>
    <row r="818" spans="1:10" ht="14.1" customHeight="1" x14ac:dyDescent="0.15">
      <c r="A818" s="221"/>
      <c r="B818" s="221"/>
      <c r="C818" s="221"/>
      <c r="D818" s="210" t="s">
        <v>140</v>
      </c>
      <c r="E818" s="212">
        <v>21</v>
      </c>
      <c r="F818" s="212">
        <v>6524</v>
      </c>
      <c r="G818" s="212">
        <v>137004</v>
      </c>
      <c r="H818" s="212">
        <v>1421</v>
      </c>
      <c r="I818" s="212">
        <v>29841</v>
      </c>
      <c r="J818" s="212">
        <v>107163</v>
      </c>
    </row>
    <row r="819" spans="1:10" ht="29.1" customHeight="1" x14ac:dyDescent="0.15">
      <c r="A819" s="221"/>
      <c r="B819" s="221"/>
      <c r="C819" s="222" t="s">
        <v>160</v>
      </c>
      <c r="D819" s="210" t="s">
        <v>70</v>
      </c>
      <c r="E819" s="212">
        <v>32</v>
      </c>
      <c r="F819" s="212">
        <v>3620</v>
      </c>
      <c r="G819" s="212">
        <v>115849</v>
      </c>
      <c r="H819" s="212">
        <v>1367</v>
      </c>
      <c r="I819" s="212">
        <v>43744</v>
      </c>
      <c r="J819" s="212">
        <v>72105</v>
      </c>
    </row>
    <row r="820" spans="1:10" ht="14.1" customHeight="1" x14ac:dyDescent="0.15">
      <c r="A820" s="221"/>
      <c r="B820" s="221"/>
      <c r="C820" s="221"/>
      <c r="D820" s="210" t="s">
        <v>101</v>
      </c>
      <c r="E820" s="212">
        <v>10</v>
      </c>
      <c r="F820" s="212">
        <v>46353</v>
      </c>
      <c r="G820" s="212">
        <v>463530</v>
      </c>
      <c r="H820" s="212">
        <v>1367</v>
      </c>
      <c r="I820" s="212">
        <v>13670</v>
      </c>
      <c r="J820" s="212">
        <v>449860</v>
      </c>
    </row>
    <row r="821" spans="1:10" ht="14.1" customHeight="1" x14ac:dyDescent="0.15">
      <c r="A821" s="221"/>
      <c r="B821" s="221"/>
      <c r="C821" s="221"/>
      <c r="D821" s="210" t="s">
        <v>79</v>
      </c>
      <c r="E821" s="212">
        <v>100</v>
      </c>
      <c r="F821" s="212">
        <v>27999</v>
      </c>
      <c r="G821" s="212">
        <v>2799870</v>
      </c>
      <c r="H821" s="212">
        <v>1367</v>
      </c>
      <c r="I821" s="212">
        <v>136700</v>
      </c>
      <c r="J821" s="212">
        <v>2663170</v>
      </c>
    </row>
    <row r="822" spans="1:10" ht="14.1" customHeight="1" x14ac:dyDescent="0.15">
      <c r="A822" s="221"/>
      <c r="B822" s="221"/>
      <c r="C822" s="221"/>
      <c r="D822" s="210" t="s">
        <v>73</v>
      </c>
      <c r="E822" s="212">
        <v>89</v>
      </c>
      <c r="F822" s="212">
        <v>14345</v>
      </c>
      <c r="G822" s="212">
        <v>1276666</v>
      </c>
      <c r="H822" s="212">
        <v>1367</v>
      </c>
      <c r="I822" s="212">
        <v>121663</v>
      </c>
      <c r="J822" s="212">
        <v>1155003</v>
      </c>
    </row>
    <row r="823" spans="1:10" ht="14.1" customHeight="1" x14ac:dyDescent="0.15">
      <c r="A823" s="221"/>
      <c r="B823" s="221"/>
      <c r="C823" s="221"/>
      <c r="D823" s="210" t="s">
        <v>74</v>
      </c>
      <c r="E823" s="212">
        <v>58</v>
      </c>
      <c r="F823" s="212">
        <v>11361</v>
      </c>
      <c r="G823" s="212">
        <v>658946</v>
      </c>
      <c r="H823" s="212">
        <v>1367</v>
      </c>
      <c r="I823" s="212">
        <v>79286</v>
      </c>
      <c r="J823" s="212">
        <v>579660</v>
      </c>
    </row>
    <row r="824" spans="1:10" ht="14.1" customHeight="1" x14ac:dyDescent="0.15">
      <c r="A824" s="221"/>
      <c r="B824" s="221"/>
      <c r="C824" s="221"/>
      <c r="D824" s="210" t="s">
        <v>71</v>
      </c>
      <c r="E824" s="212">
        <v>53</v>
      </c>
      <c r="F824" s="212">
        <v>8095</v>
      </c>
      <c r="G824" s="212">
        <v>429015</v>
      </c>
      <c r="H824" s="212">
        <v>1367</v>
      </c>
      <c r="I824" s="212">
        <v>72451</v>
      </c>
      <c r="J824" s="212">
        <v>356564</v>
      </c>
    </row>
    <row r="825" spans="1:10" ht="14.1" customHeight="1" x14ac:dyDescent="0.15">
      <c r="A825" s="221"/>
      <c r="B825" s="221"/>
      <c r="C825" s="221"/>
      <c r="D825" s="210" t="s">
        <v>82</v>
      </c>
      <c r="E825" s="212">
        <v>1</v>
      </c>
      <c r="F825" s="212">
        <v>3777</v>
      </c>
      <c r="G825" s="212">
        <v>3777</v>
      </c>
      <c r="H825" s="212">
        <v>1367</v>
      </c>
      <c r="I825" s="212">
        <v>1367</v>
      </c>
      <c r="J825" s="212">
        <v>2410</v>
      </c>
    </row>
    <row r="826" spans="1:10" ht="14.1" customHeight="1" x14ac:dyDescent="0.15">
      <c r="A826" s="221"/>
      <c r="B826" s="221"/>
      <c r="C826" s="221"/>
      <c r="D826" s="210" t="s">
        <v>75</v>
      </c>
      <c r="E826" s="212">
        <v>5</v>
      </c>
      <c r="F826" s="212">
        <v>2572</v>
      </c>
      <c r="G826" s="212">
        <v>12860</v>
      </c>
      <c r="H826" s="212">
        <v>1367</v>
      </c>
      <c r="I826" s="212">
        <v>6835</v>
      </c>
      <c r="J826" s="212">
        <v>6025</v>
      </c>
    </row>
    <row r="827" spans="1:10" ht="14.1" customHeight="1" x14ac:dyDescent="0.15">
      <c r="A827" s="221"/>
      <c r="B827" s="221"/>
      <c r="C827" s="221"/>
      <c r="D827" s="210" t="s">
        <v>139</v>
      </c>
      <c r="E827" s="212">
        <v>31</v>
      </c>
      <c r="F827" s="212">
        <v>5400</v>
      </c>
      <c r="G827" s="212">
        <v>167389</v>
      </c>
      <c r="H827" s="212">
        <v>1367</v>
      </c>
      <c r="I827" s="212">
        <v>42377</v>
      </c>
      <c r="J827" s="212">
        <v>125012</v>
      </c>
    </row>
    <row r="828" spans="1:10" ht="14.1" customHeight="1" x14ac:dyDescent="0.15">
      <c r="A828" s="221"/>
      <c r="B828" s="221"/>
      <c r="C828" s="221"/>
      <c r="D828" s="210" t="s">
        <v>140</v>
      </c>
      <c r="E828" s="212">
        <v>27</v>
      </c>
      <c r="F828" s="212">
        <v>6273</v>
      </c>
      <c r="G828" s="212">
        <v>169370</v>
      </c>
      <c r="H828" s="212">
        <v>1367</v>
      </c>
      <c r="I828" s="212">
        <v>36909</v>
      </c>
      <c r="J828" s="212">
        <v>132461</v>
      </c>
    </row>
    <row r="829" spans="1:10" ht="29.1" customHeight="1" x14ac:dyDescent="0.15">
      <c r="A829" s="221"/>
      <c r="B829" s="221"/>
      <c r="C829" s="222" t="s">
        <v>161</v>
      </c>
      <c r="D829" s="210" t="s">
        <v>70</v>
      </c>
      <c r="E829" s="212">
        <v>1630</v>
      </c>
      <c r="F829" s="212">
        <v>3267</v>
      </c>
      <c r="G829" s="212">
        <v>5325210</v>
      </c>
      <c r="H829" s="212">
        <v>702</v>
      </c>
      <c r="I829" s="212">
        <v>1144260</v>
      </c>
      <c r="J829" s="212">
        <v>4180950</v>
      </c>
    </row>
    <row r="830" spans="1:10" ht="14.1" customHeight="1" x14ac:dyDescent="0.15">
      <c r="A830" s="221"/>
      <c r="B830" s="221"/>
      <c r="C830" s="221"/>
      <c r="D830" s="210" t="s">
        <v>88</v>
      </c>
      <c r="E830" s="212">
        <v>133</v>
      </c>
      <c r="F830" s="212">
        <v>61914</v>
      </c>
      <c r="G830" s="212">
        <v>8234562</v>
      </c>
      <c r="H830" s="212">
        <v>702</v>
      </c>
      <c r="I830" s="212">
        <v>93366</v>
      </c>
      <c r="J830" s="212">
        <v>8141196</v>
      </c>
    </row>
    <row r="831" spans="1:10" ht="14.1" customHeight="1" x14ac:dyDescent="0.15">
      <c r="A831" s="221"/>
      <c r="B831" s="221"/>
      <c r="C831" s="221"/>
      <c r="D831" s="210" t="s">
        <v>101</v>
      </c>
      <c r="E831" s="212">
        <v>75</v>
      </c>
      <c r="F831" s="212">
        <v>45688</v>
      </c>
      <c r="G831" s="212">
        <v>3426600</v>
      </c>
      <c r="H831" s="212">
        <v>702</v>
      </c>
      <c r="I831" s="212">
        <v>52650</v>
      </c>
      <c r="J831" s="212">
        <v>3373950</v>
      </c>
    </row>
    <row r="832" spans="1:10" ht="14.1" customHeight="1" x14ac:dyDescent="0.15">
      <c r="A832" s="221"/>
      <c r="B832" s="221"/>
      <c r="C832" s="221"/>
      <c r="D832" s="210" t="s">
        <v>79</v>
      </c>
      <c r="E832" s="212">
        <v>4036</v>
      </c>
      <c r="F832" s="212">
        <v>27613</v>
      </c>
      <c r="G832" s="212">
        <v>111446068</v>
      </c>
      <c r="H832" s="212">
        <v>702</v>
      </c>
      <c r="I832" s="212">
        <v>2833272</v>
      </c>
      <c r="J832" s="212">
        <v>108612796</v>
      </c>
    </row>
    <row r="833" spans="1:10" ht="14.1" customHeight="1" x14ac:dyDescent="0.15">
      <c r="A833" s="221"/>
      <c r="B833" s="221"/>
      <c r="C833" s="221"/>
      <c r="D833" s="210" t="s">
        <v>73</v>
      </c>
      <c r="E833" s="212">
        <v>8980</v>
      </c>
      <c r="F833" s="212">
        <v>13829</v>
      </c>
      <c r="G833" s="212">
        <v>124184420</v>
      </c>
      <c r="H833" s="212">
        <v>702</v>
      </c>
      <c r="I833" s="212">
        <v>6303960</v>
      </c>
      <c r="J833" s="212">
        <v>117880460</v>
      </c>
    </row>
    <row r="834" spans="1:10" ht="14.1" customHeight="1" x14ac:dyDescent="0.15">
      <c r="A834" s="221"/>
      <c r="B834" s="221"/>
      <c r="C834" s="221"/>
      <c r="D834" s="210" t="s">
        <v>74</v>
      </c>
      <c r="E834" s="212">
        <v>2516</v>
      </c>
      <c r="F834" s="212">
        <v>10742</v>
      </c>
      <c r="G834" s="212">
        <v>27026872</v>
      </c>
      <c r="H834" s="212">
        <v>702</v>
      </c>
      <c r="I834" s="212">
        <v>1766232</v>
      </c>
      <c r="J834" s="212">
        <v>25260640</v>
      </c>
    </row>
    <row r="835" spans="1:10" ht="14.1" customHeight="1" x14ac:dyDescent="0.15">
      <c r="A835" s="221"/>
      <c r="B835" s="221"/>
      <c r="C835" s="221"/>
      <c r="D835" s="210" t="s">
        <v>71</v>
      </c>
      <c r="E835" s="212">
        <v>1600</v>
      </c>
      <c r="F835" s="212">
        <v>7530</v>
      </c>
      <c r="G835" s="212">
        <v>12048000</v>
      </c>
      <c r="H835" s="212">
        <v>702</v>
      </c>
      <c r="I835" s="212">
        <v>1123200</v>
      </c>
      <c r="J835" s="212">
        <v>10924800</v>
      </c>
    </row>
    <row r="836" spans="1:10" ht="14.1" customHeight="1" x14ac:dyDescent="0.15">
      <c r="A836" s="221"/>
      <c r="B836" s="221"/>
      <c r="C836" s="221"/>
      <c r="D836" s="210" t="s">
        <v>72</v>
      </c>
      <c r="E836" s="212">
        <v>104</v>
      </c>
      <c r="F836" s="212">
        <v>4953</v>
      </c>
      <c r="G836" s="212">
        <v>515112</v>
      </c>
      <c r="H836" s="212">
        <v>702</v>
      </c>
      <c r="I836" s="212">
        <v>73008</v>
      </c>
      <c r="J836" s="212">
        <v>442104</v>
      </c>
    </row>
    <row r="837" spans="1:10" ht="14.1" customHeight="1" x14ac:dyDescent="0.15">
      <c r="A837" s="221"/>
      <c r="B837" s="221"/>
      <c r="C837" s="221"/>
      <c r="D837" s="210" t="s">
        <v>82</v>
      </c>
      <c r="E837" s="212">
        <v>6187</v>
      </c>
      <c r="F837" s="212">
        <v>3112</v>
      </c>
      <c r="G837" s="212">
        <v>19253944</v>
      </c>
      <c r="H837" s="212">
        <v>702</v>
      </c>
      <c r="I837" s="212">
        <v>4343274</v>
      </c>
      <c r="J837" s="212">
        <v>14910670</v>
      </c>
    </row>
    <row r="838" spans="1:10" ht="14.1" customHeight="1" x14ac:dyDescent="0.15">
      <c r="A838" s="221"/>
      <c r="B838" s="221"/>
      <c r="C838" s="221"/>
      <c r="D838" s="210" t="s">
        <v>75</v>
      </c>
      <c r="E838" s="212">
        <v>183</v>
      </c>
      <c r="F838" s="212">
        <v>1907</v>
      </c>
      <c r="G838" s="212">
        <v>348981</v>
      </c>
      <c r="H838" s="212">
        <v>702</v>
      </c>
      <c r="I838" s="212">
        <v>128466</v>
      </c>
      <c r="J838" s="212">
        <v>220515</v>
      </c>
    </row>
    <row r="839" spans="1:10" ht="14.1" customHeight="1" x14ac:dyDescent="0.15">
      <c r="A839" s="221"/>
      <c r="B839" s="221"/>
      <c r="C839" s="221"/>
      <c r="D839" s="210" t="s">
        <v>69</v>
      </c>
      <c r="E839" s="212">
        <v>39</v>
      </c>
      <c r="F839" s="212">
        <v>24895</v>
      </c>
      <c r="G839" s="212">
        <v>970905</v>
      </c>
      <c r="H839" s="212">
        <v>702</v>
      </c>
      <c r="I839" s="212">
        <v>27378</v>
      </c>
      <c r="J839" s="212">
        <v>943527</v>
      </c>
    </row>
    <row r="840" spans="1:10" ht="14.1" customHeight="1" x14ac:dyDescent="0.15">
      <c r="A840" s="221"/>
      <c r="B840" s="221"/>
      <c r="C840" s="221"/>
      <c r="D840" s="210" t="s">
        <v>139</v>
      </c>
      <c r="E840" s="212">
        <v>1781</v>
      </c>
      <c r="F840" s="212">
        <v>4799</v>
      </c>
      <c r="G840" s="212">
        <v>8547019</v>
      </c>
      <c r="H840" s="212">
        <v>702</v>
      </c>
      <c r="I840" s="212">
        <v>1250262</v>
      </c>
      <c r="J840" s="212">
        <v>7296757</v>
      </c>
    </row>
    <row r="841" spans="1:10" ht="14.1" customHeight="1" x14ac:dyDescent="0.15">
      <c r="A841" s="221"/>
      <c r="B841" s="221"/>
      <c r="C841" s="221"/>
      <c r="D841" s="210" t="s">
        <v>140</v>
      </c>
      <c r="E841" s="212">
        <v>1824</v>
      </c>
      <c r="F841" s="212">
        <v>5805</v>
      </c>
      <c r="G841" s="212">
        <v>10588320</v>
      </c>
      <c r="H841" s="212">
        <v>702</v>
      </c>
      <c r="I841" s="212">
        <v>1280448</v>
      </c>
      <c r="J841" s="212">
        <v>9307872</v>
      </c>
    </row>
    <row r="842" spans="1:10" ht="14.1" customHeight="1" x14ac:dyDescent="0.15">
      <c r="A842" s="221"/>
      <c r="B842" s="220" t="s">
        <v>168</v>
      </c>
      <c r="C842" s="223" t="s">
        <v>67</v>
      </c>
      <c r="D842" s="210" t="s">
        <v>152</v>
      </c>
      <c r="E842" s="212">
        <v>1</v>
      </c>
      <c r="F842" s="212">
        <v>61212</v>
      </c>
      <c r="G842" s="212">
        <v>61212</v>
      </c>
      <c r="H842" s="212">
        <v>925</v>
      </c>
      <c r="I842" s="212">
        <v>925</v>
      </c>
      <c r="J842" s="212">
        <v>60287</v>
      </c>
    </row>
    <row r="843" spans="1:10" ht="14.1" customHeight="1" x14ac:dyDescent="0.15">
      <c r="A843" s="221"/>
      <c r="B843" s="221"/>
      <c r="C843" s="221"/>
      <c r="D843" s="210" t="s">
        <v>144</v>
      </c>
      <c r="E843" s="212">
        <v>6</v>
      </c>
      <c r="F843" s="212">
        <v>44986</v>
      </c>
      <c r="G843" s="212">
        <v>269916</v>
      </c>
      <c r="H843" s="212">
        <v>925</v>
      </c>
      <c r="I843" s="212">
        <v>5550</v>
      </c>
      <c r="J843" s="212">
        <v>264366</v>
      </c>
    </row>
    <row r="844" spans="1:10" ht="14.1" customHeight="1" x14ac:dyDescent="0.15">
      <c r="A844" s="221"/>
      <c r="B844" s="221"/>
      <c r="C844" s="221"/>
      <c r="D844" s="210" t="s">
        <v>154</v>
      </c>
      <c r="E844" s="212">
        <v>5</v>
      </c>
      <c r="F844" s="212">
        <v>44986</v>
      </c>
      <c r="G844" s="212">
        <v>224930</v>
      </c>
      <c r="H844" s="212">
        <v>925</v>
      </c>
      <c r="I844" s="212">
        <v>4625</v>
      </c>
      <c r="J844" s="212">
        <v>220305</v>
      </c>
    </row>
    <row r="845" spans="1:10" ht="14.1" customHeight="1" x14ac:dyDescent="0.15">
      <c r="A845" s="221"/>
      <c r="B845" s="221"/>
      <c r="C845" s="221"/>
      <c r="D845" s="210" t="s">
        <v>145</v>
      </c>
      <c r="E845" s="212">
        <v>38</v>
      </c>
      <c r="F845" s="212">
        <v>26911</v>
      </c>
      <c r="G845" s="212">
        <v>1022618</v>
      </c>
      <c r="H845" s="212">
        <v>925</v>
      </c>
      <c r="I845" s="212">
        <v>35150</v>
      </c>
      <c r="J845" s="212">
        <v>987468</v>
      </c>
    </row>
    <row r="846" spans="1:10" ht="14.1" customHeight="1" x14ac:dyDescent="0.15">
      <c r="A846" s="221"/>
      <c r="B846" s="221"/>
      <c r="C846" s="221"/>
      <c r="D846" s="210" t="s">
        <v>85</v>
      </c>
      <c r="E846" s="212">
        <v>239</v>
      </c>
      <c r="F846" s="212">
        <v>26911</v>
      </c>
      <c r="G846" s="212">
        <v>6431729</v>
      </c>
      <c r="H846" s="212">
        <v>925</v>
      </c>
      <c r="I846" s="212">
        <v>221075</v>
      </c>
      <c r="J846" s="212">
        <v>6210654</v>
      </c>
    </row>
    <row r="847" spans="1:10" ht="14.1" customHeight="1" x14ac:dyDescent="0.15">
      <c r="A847" s="221"/>
      <c r="B847" s="221"/>
      <c r="C847" s="221"/>
      <c r="D847" s="210" t="s">
        <v>141</v>
      </c>
      <c r="E847" s="212">
        <v>33</v>
      </c>
      <c r="F847" s="212">
        <v>13127</v>
      </c>
      <c r="G847" s="212">
        <v>433191</v>
      </c>
      <c r="H847" s="212">
        <v>925</v>
      </c>
      <c r="I847" s="212">
        <v>30525</v>
      </c>
      <c r="J847" s="212">
        <v>402666</v>
      </c>
    </row>
    <row r="848" spans="1:10" ht="14.1" customHeight="1" x14ac:dyDescent="0.15">
      <c r="A848" s="221"/>
      <c r="B848" s="221"/>
      <c r="C848" s="221"/>
      <c r="D848" s="210" t="s">
        <v>78</v>
      </c>
      <c r="E848" s="212">
        <v>20</v>
      </c>
      <c r="F848" s="212">
        <v>13127</v>
      </c>
      <c r="G848" s="212">
        <v>262540</v>
      </c>
      <c r="H848" s="212">
        <v>925</v>
      </c>
      <c r="I848" s="212">
        <v>18500</v>
      </c>
      <c r="J848" s="212">
        <v>244040</v>
      </c>
    </row>
    <row r="849" spans="1:10" ht="14.1" customHeight="1" x14ac:dyDescent="0.15">
      <c r="A849" s="221"/>
      <c r="B849" s="221"/>
      <c r="C849" s="221"/>
      <c r="D849" s="210" t="s">
        <v>146</v>
      </c>
      <c r="E849" s="212">
        <v>131</v>
      </c>
      <c r="F849" s="212">
        <v>10040</v>
      </c>
      <c r="G849" s="212">
        <v>1315240</v>
      </c>
      <c r="H849" s="212">
        <v>925</v>
      </c>
      <c r="I849" s="212">
        <v>121175</v>
      </c>
      <c r="J849" s="212">
        <v>1194065</v>
      </c>
    </row>
    <row r="850" spans="1:10" ht="14.1" customHeight="1" x14ac:dyDescent="0.15">
      <c r="A850" s="221"/>
      <c r="B850" s="221"/>
      <c r="C850" s="221"/>
      <c r="D850" s="210" t="s">
        <v>83</v>
      </c>
      <c r="E850" s="212">
        <v>28</v>
      </c>
      <c r="F850" s="212">
        <v>10040</v>
      </c>
      <c r="G850" s="212">
        <v>281120</v>
      </c>
      <c r="H850" s="212">
        <v>925</v>
      </c>
      <c r="I850" s="212">
        <v>25900</v>
      </c>
      <c r="J850" s="212">
        <v>255220</v>
      </c>
    </row>
    <row r="851" spans="1:10" ht="14.1" customHeight="1" x14ac:dyDescent="0.15">
      <c r="A851" s="221"/>
      <c r="B851" s="221"/>
      <c r="C851" s="221"/>
      <c r="D851" s="210" t="s">
        <v>136</v>
      </c>
      <c r="E851" s="212">
        <v>187</v>
      </c>
      <c r="F851" s="212">
        <v>6828</v>
      </c>
      <c r="G851" s="212">
        <v>1276836</v>
      </c>
      <c r="H851" s="212">
        <v>925</v>
      </c>
      <c r="I851" s="212">
        <v>172975</v>
      </c>
      <c r="J851" s="212">
        <v>1103861</v>
      </c>
    </row>
    <row r="852" spans="1:10" ht="14.1" customHeight="1" x14ac:dyDescent="0.15">
      <c r="A852" s="221"/>
      <c r="B852" s="221"/>
      <c r="C852" s="221"/>
      <c r="D852" s="210" t="s">
        <v>77</v>
      </c>
      <c r="E852" s="212">
        <v>90</v>
      </c>
      <c r="F852" s="212">
        <v>6828</v>
      </c>
      <c r="G852" s="212">
        <v>614520</v>
      </c>
      <c r="H852" s="212">
        <v>925</v>
      </c>
      <c r="I852" s="212">
        <v>83250</v>
      </c>
      <c r="J852" s="212">
        <v>531270</v>
      </c>
    </row>
    <row r="853" spans="1:10" ht="14.1" customHeight="1" x14ac:dyDescent="0.15">
      <c r="A853" s="221"/>
      <c r="B853" s="221"/>
      <c r="C853" s="221"/>
      <c r="D853" s="210" t="s">
        <v>149</v>
      </c>
      <c r="E853" s="212">
        <v>4</v>
      </c>
      <c r="F853" s="212">
        <v>4251</v>
      </c>
      <c r="G853" s="212">
        <v>17004</v>
      </c>
      <c r="H853" s="212">
        <v>925</v>
      </c>
      <c r="I853" s="212">
        <v>3700</v>
      </c>
      <c r="J853" s="212">
        <v>13304</v>
      </c>
    </row>
    <row r="854" spans="1:10" ht="14.1" customHeight="1" x14ac:dyDescent="0.15">
      <c r="A854" s="221"/>
      <c r="B854" s="221"/>
      <c r="C854" s="221"/>
      <c r="D854" s="210" t="s">
        <v>86</v>
      </c>
      <c r="E854" s="212">
        <v>11</v>
      </c>
      <c r="F854" s="212">
        <v>4251</v>
      </c>
      <c r="G854" s="212">
        <v>46761</v>
      </c>
      <c r="H854" s="212">
        <v>925</v>
      </c>
      <c r="I854" s="212">
        <v>10175</v>
      </c>
      <c r="J854" s="212">
        <v>36586</v>
      </c>
    </row>
    <row r="855" spans="1:10" ht="14.1" customHeight="1" x14ac:dyDescent="0.15">
      <c r="A855" s="221"/>
      <c r="B855" s="221"/>
      <c r="C855" s="221"/>
      <c r="D855" s="210" t="s">
        <v>147</v>
      </c>
      <c r="E855" s="212">
        <v>2</v>
      </c>
      <c r="F855" s="212">
        <v>2410</v>
      </c>
      <c r="G855" s="212">
        <v>4820</v>
      </c>
      <c r="H855" s="212">
        <v>925</v>
      </c>
      <c r="I855" s="212">
        <v>1850</v>
      </c>
      <c r="J855" s="212">
        <v>2970</v>
      </c>
    </row>
    <row r="856" spans="1:10" ht="14.1" customHeight="1" x14ac:dyDescent="0.15">
      <c r="A856" s="221"/>
      <c r="B856" s="221"/>
      <c r="C856" s="221"/>
      <c r="D856" s="210" t="s">
        <v>84</v>
      </c>
      <c r="E856" s="212">
        <v>5</v>
      </c>
      <c r="F856" s="212">
        <v>2410</v>
      </c>
      <c r="G856" s="212">
        <v>12050</v>
      </c>
      <c r="H856" s="212">
        <v>925</v>
      </c>
      <c r="I856" s="212">
        <v>4625</v>
      </c>
      <c r="J856" s="212">
        <v>7425</v>
      </c>
    </row>
    <row r="857" spans="1:10" ht="14.1" customHeight="1" x14ac:dyDescent="0.15">
      <c r="A857" s="221"/>
      <c r="B857" s="221"/>
      <c r="C857" s="221"/>
      <c r="D857" s="210" t="s">
        <v>148</v>
      </c>
      <c r="E857" s="212">
        <v>3</v>
      </c>
      <c r="F857" s="212">
        <v>1205</v>
      </c>
      <c r="G857" s="212">
        <v>3615</v>
      </c>
      <c r="H857" s="212">
        <v>925</v>
      </c>
      <c r="I857" s="212">
        <v>2775</v>
      </c>
      <c r="J857" s="212">
        <v>840</v>
      </c>
    </row>
    <row r="858" spans="1:10" ht="14.1" customHeight="1" x14ac:dyDescent="0.15">
      <c r="A858" s="221"/>
      <c r="B858" s="221"/>
      <c r="C858" s="221"/>
      <c r="D858" s="210" t="s">
        <v>89</v>
      </c>
      <c r="E858" s="212">
        <v>2</v>
      </c>
      <c r="F858" s="212">
        <v>1205</v>
      </c>
      <c r="G858" s="212">
        <v>2410</v>
      </c>
      <c r="H858" s="212">
        <v>925</v>
      </c>
      <c r="I858" s="212">
        <v>1850</v>
      </c>
      <c r="J858" s="212">
        <v>560</v>
      </c>
    </row>
    <row r="859" spans="1:10" ht="29.1" customHeight="1" x14ac:dyDescent="0.15">
      <c r="A859" s="221"/>
      <c r="B859" s="221"/>
      <c r="C859" s="222" t="s">
        <v>159</v>
      </c>
      <c r="D859" s="210" t="s">
        <v>88</v>
      </c>
      <c r="E859" s="212">
        <v>1</v>
      </c>
      <c r="F859" s="212">
        <v>62633</v>
      </c>
      <c r="G859" s="212">
        <v>62633</v>
      </c>
      <c r="H859" s="212">
        <v>2346</v>
      </c>
      <c r="I859" s="212">
        <v>2346</v>
      </c>
      <c r="J859" s="212">
        <v>60287</v>
      </c>
    </row>
    <row r="860" spans="1:10" ht="14.1" customHeight="1" x14ac:dyDescent="0.15">
      <c r="A860" s="221"/>
      <c r="B860" s="221"/>
      <c r="C860" s="221"/>
      <c r="D860" s="210" t="s">
        <v>101</v>
      </c>
      <c r="E860" s="212">
        <v>11</v>
      </c>
      <c r="F860" s="212">
        <v>46407</v>
      </c>
      <c r="G860" s="212">
        <v>510477</v>
      </c>
      <c r="H860" s="212">
        <v>2346</v>
      </c>
      <c r="I860" s="212">
        <v>25806</v>
      </c>
      <c r="J860" s="212">
        <v>484671</v>
      </c>
    </row>
    <row r="861" spans="1:10" ht="14.1" customHeight="1" x14ac:dyDescent="0.15">
      <c r="A861" s="221"/>
      <c r="B861" s="221"/>
      <c r="C861" s="221"/>
      <c r="D861" s="210" t="s">
        <v>79</v>
      </c>
      <c r="E861" s="212">
        <v>30</v>
      </c>
      <c r="F861" s="212">
        <v>28332</v>
      </c>
      <c r="G861" s="212">
        <v>849960</v>
      </c>
      <c r="H861" s="212">
        <v>2346</v>
      </c>
      <c r="I861" s="212">
        <v>70380</v>
      </c>
      <c r="J861" s="212">
        <v>779580</v>
      </c>
    </row>
    <row r="862" spans="1:10" ht="14.1" customHeight="1" x14ac:dyDescent="0.15">
      <c r="A862" s="221"/>
      <c r="B862" s="221"/>
      <c r="C862" s="221"/>
      <c r="D862" s="210" t="s">
        <v>73</v>
      </c>
      <c r="E862" s="212">
        <v>6</v>
      </c>
      <c r="F862" s="212">
        <v>14548</v>
      </c>
      <c r="G862" s="212">
        <v>87288</v>
      </c>
      <c r="H862" s="212">
        <v>2346</v>
      </c>
      <c r="I862" s="212">
        <v>14076</v>
      </c>
      <c r="J862" s="212">
        <v>73212</v>
      </c>
    </row>
    <row r="863" spans="1:10" ht="14.1" customHeight="1" x14ac:dyDescent="0.15">
      <c r="A863" s="221"/>
      <c r="B863" s="221"/>
      <c r="C863" s="221"/>
      <c r="D863" s="210" t="s">
        <v>74</v>
      </c>
      <c r="E863" s="212">
        <v>7</v>
      </c>
      <c r="F863" s="212">
        <v>11461</v>
      </c>
      <c r="G863" s="212">
        <v>80227</v>
      </c>
      <c r="H863" s="212">
        <v>2346</v>
      </c>
      <c r="I863" s="212">
        <v>16422</v>
      </c>
      <c r="J863" s="212">
        <v>63805</v>
      </c>
    </row>
    <row r="864" spans="1:10" ht="14.1" customHeight="1" x14ac:dyDescent="0.15">
      <c r="A864" s="221"/>
      <c r="B864" s="221"/>
      <c r="C864" s="221"/>
      <c r="D864" s="210" t="s">
        <v>71</v>
      </c>
      <c r="E864" s="212">
        <v>259</v>
      </c>
      <c r="F864" s="212">
        <v>8249</v>
      </c>
      <c r="G864" s="212">
        <v>2136491</v>
      </c>
      <c r="H864" s="212">
        <v>2346</v>
      </c>
      <c r="I864" s="212">
        <v>607614</v>
      </c>
      <c r="J864" s="212">
        <v>1528877</v>
      </c>
    </row>
    <row r="865" spans="1:10" ht="14.1" customHeight="1" x14ac:dyDescent="0.15">
      <c r="A865" s="221"/>
      <c r="B865" s="221"/>
      <c r="C865" s="221"/>
      <c r="D865" s="210" t="s">
        <v>82</v>
      </c>
      <c r="E865" s="212">
        <v>1</v>
      </c>
      <c r="F865" s="212">
        <v>3831</v>
      </c>
      <c r="G865" s="212">
        <v>3831</v>
      </c>
      <c r="H865" s="212">
        <v>2346</v>
      </c>
      <c r="I865" s="212">
        <v>2346</v>
      </c>
      <c r="J865" s="212">
        <v>1485</v>
      </c>
    </row>
    <row r="866" spans="1:10" ht="29.1" customHeight="1" x14ac:dyDescent="0.15">
      <c r="A866" s="221"/>
      <c r="B866" s="221"/>
      <c r="C866" s="222" t="s">
        <v>160</v>
      </c>
      <c r="D866" s="210" t="s">
        <v>101</v>
      </c>
      <c r="E866" s="212">
        <v>1</v>
      </c>
      <c r="F866" s="212">
        <v>45688</v>
      </c>
      <c r="G866" s="212">
        <v>45688</v>
      </c>
      <c r="H866" s="212">
        <v>2292</v>
      </c>
      <c r="I866" s="212">
        <v>2292</v>
      </c>
      <c r="J866" s="212">
        <v>43396</v>
      </c>
    </row>
    <row r="867" spans="1:10" ht="14.1" customHeight="1" x14ac:dyDescent="0.15">
      <c r="A867" s="221"/>
      <c r="B867" s="221"/>
      <c r="C867" s="221"/>
      <c r="D867" s="210" t="s">
        <v>79</v>
      </c>
      <c r="E867" s="212">
        <v>6</v>
      </c>
      <c r="F867" s="212">
        <v>28056</v>
      </c>
      <c r="G867" s="212">
        <v>168338</v>
      </c>
      <c r="H867" s="212">
        <v>2292</v>
      </c>
      <c r="I867" s="212">
        <v>13752</v>
      </c>
      <c r="J867" s="212">
        <v>154586</v>
      </c>
    </row>
    <row r="868" spans="1:10" ht="14.1" customHeight="1" x14ac:dyDescent="0.15">
      <c r="A868" s="221"/>
      <c r="B868" s="221"/>
      <c r="C868" s="221"/>
      <c r="D868" s="210" t="s">
        <v>73</v>
      </c>
      <c r="E868" s="212">
        <v>4</v>
      </c>
      <c r="F868" s="212">
        <v>14494</v>
      </c>
      <c r="G868" s="212">
        <v>57976</v>
      </c>
      <c r="H868" s="212">
        <v>2292</v>
      </c>
      <c r="I868" s="212">
        <v>9168</v>
      </c>
      <c r="J868" s="212">
        <v>48808</v>
      </c>
    </row>
    <row r="869" spans="1:10" ht="14.1" customHeight="1" x14ac:dyDescent="0.15">
      <c r="A869" s="221"/>
      <c r="B869" s="221"/>
      <c r="C869" s="221"/>
      <c r="D869" s="210" t="s">
        <v>74</v>
      </c>
      <c r="E869" s="212">
        <v>61</v>
      </c>
      <c r="F869" s="212">
        <v>11407</v>
      </c>
      <c r="G869" s="212">
        <v>695827</v>
      </c>
      <c r="H869" s="212">
        <v>2292</v>
      </c>
      <c r="I869" s="212">
        <v>139812</v>
      </c>
      <c r="J869" s="212">
        <v>556015</v>
      </c>
    </row>
    <row r="870" spans="1:10" ht="14.1" customHeight="1" x14ac:dyDescent="0.15">
      <c r="A870" s="221"/>
      <c r="B870" s="221"/>
      <c r="C870" s="221"/>
      <c r="D870" s="210" t="s">
        <v>71</v>
      </c>
      <c r="E870" s="212">
        <v>69</v>
      </c>
      <c r="F870" s="212">
        <v>8176</v>
      </c>
      <c r="G870" s="212">
        <v>564125</v>
      </c>
      <c r="H870" s="212">
        <v>2292</v>
      </c>
      <c r="I870" s="212">
        <v>158148</v>
      </c>
      <c r="J870" s="212">
        <v>405977</v>
      </c>
    </row>
    <row r="871" spans="1:10" ht="14.1" customHeight="1" x14ac:dyDescent="0.15">
      <c r="A871" s="221"/>
      <c r="B871" s="221"/>
      <c r="C871" s="221"/>
      <c r="D871" s="210" t="s">
        <v>72</v>
      </c>
      <c r="E871" s="212">
        <v>1</v>
      </c>
      <c r="F871" s="212">
        <v>5618</v>
      </c>
      <c r="G871" s="212">
        <v>5618</v>
      </c>
      <c r="H871" s="212">
        <v>2292</v>
      </c>
      <c r="I871" s="212">
        <v>2292</v>
      </c>
      <c r="J871" s="212">
        <v>3326</v>
      </c>
    </row>
    <row r="872" spans="1:10" ht="29.1" customHeight="1" x14ac:dyDescent="0.15">
      <c r="A872" s="221"/>
      <c r="B872" s="221"/>
      <c r="C872" s="222" t="s">
        <v>161</v>
      </c>
      <c r="D872" s="210" t="s">
        <v>88</v>
      </c>
      <c r="E872" s="212">
        <v>30</v>
      </c>
      <c r="F872" s="212">
        <v>61914</v>
      </c>
      <c r="G872" s="212">
        <v>1857420</v>
      </c>
      <c r="H872" s="212">
        <v>1627</v>
      </c>
      <c r="I872" s="212">
        <v>48810</v>
      </c>
      <c r="J872" s="212">
        <v>1808610</v>
      </c>
    </row>
    <row r="873" spans="1:10" ht="14.1" customHeight="1" x14ac:dyDescent="0.15">
      <c r="A873" s="221"/>
      <c r="B873" s="221"/>
      <c r="C873" s="221"/>
      <c r="D873" s="210" t="s">
        <v>101</v>
      </c>
      <c r="E873" s="212">
        <v>718</v>
      </c>
      <c r="F873" s="212">
        <v>45688</v>
      </c>
      <c r="G873" s="212">
        <v>32803984</v>
      </c>
      <c r="H873" s="212">
        <v>1627</v>
      </c>
      <c r="I873" s="212">
        <v>1168186</v>
      </c>
      <c r="J873" s="212">
        <v>31635798</v>
      </c>
    </row>
    <row r="874" spans="1:10" ht="14.1" customHeight="1" x14ac:dyDescent="0.15">
      <c r="A874" s="221"/>
      <c r="B874" s="221"/>
      <c r="C874" s="221"/>
      <c r="D874" s="210" t="s">
        <v>79</v>
      </c>
      <c r="E874" s="212">
        <v>5004</v>
      </c>
      <c r="F874" s="212">
        <v>27613</v>
      </c>
      <c r="G874" s="212">
        <v>138175452</v>
      </c>
      <c r="H874" s="212">
        <v>1627</v>
      </c>
      <c r="I874" s="212">
        <v>8141508</v>
      </c>
      <c r="J874" s="212">
        <v>130033944</v>
      </c>
    </row>
    <row r="875" spans="1:10" ht="14.1" customHeight="1" x14ac:dyDescent="0.15">
      <c r="A875" s="221"/>
      <c r="B875" s="221"/>
      <c r="C875" s="221"/>
      <c r="D875" s="210" t="s">
        <v>73</v>
      </c>
      <c r="E875" s="212">
        <v>4019</v>
      </c>
      <c r="F875" s="212">
        <v>13829</v>
      </c>
      <c r="G875" s="212">
        <v>55578751</v>
      </c>
      <c r="H875" s="212">
        <v>1627</v>
      </c>
      <c r="I875" s="212">
        <v>6538913</v>
      </c>
      <c r="J875" s="212">
        <v>49039838</v>
      </c>
    </row>
    <row r="876" spans="1:10" ht="14.1" customHeight="1" x14ac:dyDescent="0.15">
      <c r="A876" s="221"/>
      <c r="B876" s="221"/>
      <c r="C876" s="221"/>
      <c r="D876" s="210" t="s">
        <v>74</v>
      </c>
      <c r="E876" s="212">
        <v>7449</v>
      </c>
      <c r="F876" s="212">
        <v>10742</v>
      </c>
      <c r="G876" s="212">
        <v>80017158</v>
      </c>
      <c r="H876" s="212">
        <v>1627</v>
      </c>
      <c r="I876" s="212">
        <v>12119523</v>
      </c>
      <c r="J876" s="212">
        <v>67897635</v>
      </c>
    </row>
    <row r="877" spans="1:10" ht="14.1" customHeight="1" x14ac:dyDescent="0.15">
      <c r="A877" s="221"/>
      <c r="B877" s="221"/>
      <c r="C877" s="221"/>
      <c r="D877" s="210" t="s">
        <v>71</v>
      </c>
      <c r="E877" s="212">
        <v>12189</v>
      </c>
      <c r="F877" s="212">
        <v>7530</v>
      </c>
      <c r="G877" s="212">
        <v>91783170</v>
      </c>
      <c r="H877" s="212">
        <v>1627</v>
      </c>
      <c r="I877" s="212">
        <v>19831503</v>
      </c>
      <c r="J877" s="212">
        <v>71951667</v>
      </c>
    </row>
    <row r="878" spans="1:10" ht="14.1" customHeight="1" x14ac:dyDescent="0.15">
      <c r="A878" s="221"/>
      <c r="B878" s="221"/>
      <c r="C878" s="221"/>
      <c r="D878" s="210" t="s">
        <v>72</v>
      </c>
      <c r="E878" s="212">
        <v>854</v>
      </c>
      <c r="F878" s="212">
        <v>4953</v>
      </c>
      <c r="G878" s="212">
        <v>4229862</v>
      </c>
      <c r="H878" s="212">
        <v>1627</v>
      </c>
      <c r="I878" s="212">
        <v>1389458</v>
      </c>
      <c r="J878" s="212">
        <v>2840404</v>
      </c>
    </row>
    <row r="879" spans="1:10" ht="14.1" customHeight="1" x14ac:dyDescent="0.15">
      <c r="A879" s="221"/>
      <c r="B879" s="221"/>
      <c r="C879" s="221"/>
      <c r="D879" s="210" t="s">
        <v>82</v>
      </c>
      <c r="E879" s="212">
        <v>732</v>
      </c>
      <c r="F879" s="212">
        <v>3112</v>
      </c>
      <c r="G879" s="212">
        <v>2277984</v>
      </c>
      <c r="H879" s="212">
        <v>1627</v>
      </c>
      <c r="I879" s="212">
        <v>1190964</v>
      </c>
      <c r="J879" s="212">
        <v>1087020</v>
      </c>
    </row>
    <row r="880" spans="1:10" ht="14.1" customHeight="1" x14ac:dyDescent="0.15">
      <c r="A880" s="221"/>
      <c r="B880" s="221"/>
      <c r="C880" s="221"/>
      <c r="D880" s="210" t="s">
        <v>75</v>
      </c>
      <c r="E880" s="212">
        <v>344</v>
      </c>
      <c r="F880" s="212">
        <v>1907</v>
      </c>
      <c r="G880" s="212">
        <v>656008</v>
      </c>
      <c r="H880" s="212">
        <v>1627</v>
      </c>
      <c r="I880" s="212">
        <v>559688</v>
      </c>
      <c r="J880" s="212">
        <v>96320</v>
      </c>
    </row>
    <row r="881" spans="1:10" ht="14.1" customHeight="1" x14ac:dyDescent="0.15">
      <c r="A881" s="221" t="s">
        <v>90</v>
      </c>
      <c r="B881" s="221" t="s">
        <v>53</v>
      </c>
      <c r="C881" s="221"/>
      <c r="D881" s="221"/>
      <c r="E881" s="212">
        <v>4989</v>
      </c>
      <c r="F881" s="212">
        <v>554097</v>
      </c>
      <c r="G881" s="212">
        <v>68538870</v>
      </c>
      <c r="H881" s="212"/>
      <c r="I881" s="212">
        <v>3852547</v>
      </c>
      <c r="J881" s="212">
        <v>64686323</v>
      </c>
    </row>
    <row r="882" spans="1:10" ht="14.1" customHeight="1" x14ac:dyDescent="0.15">
      <c r="A882" s="221"/>
      <c r="B882" s="210" t="s">
        <v>63</v>
      </c>
      <c r="C882" s="210" t="s">
        <v>64</v>
      </c>
      <c r="D882" s="210" t="s">
        <v>65</v>
      </c>
      <c r="E882" s="218">
        <v>161</v>
      </c>
      <c r="F882" s="218">
        <v>10841</v>
      </c>
      <c r="G882" s="218">
        <v>1745401</v>
      </c>
      <c r="H882" s="218">
        <v>1627</v>
      </c>
      <c r="I882" s="218">
        <v>261947</v>
      </c>
      <c r="J882" s="218">
        <v>1483454</v>
      </c>
    </row>
    <row r="883" spans="1:10" ht="29.1" customHeight="1" x14ac:dyDescent="0.15">
      <c r="A883" s="221"/>
      <c r="B883" s="213" t="s">
        <v>66</v>
      </c>
      <c r="C883" s="209" t="s">
        <v>161</v>
      </c>
      <c r="D883" s="210" t="s">
        <v>133</v>
      </c>
      <c r="E883" s="219"/>
      <c r="F883" s="219"/>
      <c r="G883" s="219"/>
      <c r="H883" s="219"/>
      <c r="I883" s="219"/>
      <c r="J883" s="219"/>
    </row>
    <row r="884" spans="1:10" ht="42.95" customHeight="1" x14ac:dyDescent="0.15">
      <c r="A884" s="221"/>
      <c r="B884" s="222" t="s">
        <v>215</v>
      </c>
      <c r="C884" s="223" t="s">
        <v>67</v>
      </c>
      <c r="D884" s="210" t="s">
        <v>145</v>
      </c>
      <c r="E884" s="212">
        <v>4</v>
      </c>
      <c r="F884" s="212">
        <v>26911</v>
      </c>
      <c r="G884" s="212">
        <v>107644</v>
      </c>
      <c r="H884" s="212">
        <v>0</v>
      </c>
      <c r="I884" s="212">
        <v>0</v>
      </c>
      <c r="J884" s="212">
        <v>107644</v>
      </c>
    </row>
    <row r="885" spans="1:10" ht="14.1" customHeight="1" x14ac:dyDescent="0.15">
      <c r="A885" s="221"/>
      <c r="B885" s="221"/>
      <c r="C885" s="221"/>
      <c r="D885" s="210" t="s">
        <v>85</v>
      </c>
      <c r="E885" s="212">
        <v>15</v>
      </c>
      <c r="F885" s="212">
        <v>26911</v>
      </c>
      <c r="G885" s="212">
        <v>403665</v>
      </c>
      <c r="H885" s="212">
        <v>0</v>
      </c>
      <c r="I885" s="212">
        <v>0</v>
      </c>
      <c r="J885" s="212">
        <v>403665</v>
      </c>
    </row>
    <row r="886" spans="1:10" ht="14.1" customHeight="1" x14ac:dyDescent="0.15">
      <c r="A886" s="221"/>
      <c r="B886" s="221"/>
      <c r="C886" s="221"/>
      <c r="D886" s="210" t="s">
        <v>141</v>
      </c>
      <c r="E886" s="212">
        <v>17</v>
      </c>
      <c r="F886" s="212">
        <v>13127</v>
      </c>
      <c r="G886" s="212">
        <v>223159</v>
      </c>
      <c r="H886" s="212">
        <v>0</v>
      </c>
      <c r="I886" s="212">
        <v>0</v>
      </c>
      <c r="J886" s="212">
        <v>223159</v>
      </c>
    </row>
    <row r="887" spans="1:10" ht="14.1" customHeight="1" x14ac:dyDescent="0.15">
      <c r="A887" s="221"/>
      <c r="B887" s="221"/>
      <c r="C887" s="221"/>
      <c r="D887" s="210" t="s">
        <v>78</v>
      </c>
      <c r="E887" s="212">
        <v>43</v>
      </c>
      <c r="F887" s="212">
        <v>13127</v>
      </c>
      <c r="G887" s="212">
        <v>564461</v>
      </c>
      <c r="H887" s="212">
        <v>0</v>
      </c>
      <c r="I887" s="212">
        <v>0</v>
      </c>
      <c r="J887" s="212">
        <v>564461</v>
      </c>
    </row>
    <row r="888" spans="1:10" ht="14.1" customHeight="1" x14ac:dyDescent="0.15">
      <c r="A888" s="221"/>
      <c r="B888" s="221"/>
      <c r="C888" s="221"/>
      <c r="D888" s="210" t="s">
        <v>77</v>
      </c>
      <c r="E888" s="212">
        <v>8</v>
      </c>
      <c r="F888" s="212">
        <v>6828</v>
      </c>
      <c r="G888" s="212">
        <v>54624</v>
      </c>
      <c r="H888" s="212">
        <v>0</v>
      </c>
      <c r="I888" s="212">
        <v>0</v>
      </c>
      <c r="J888" s="212">
        <v>54624</v>
      </c>
    </row>
    <row r="889" spans="1:10" ht="14.1" customHeight="1" x14ac:dyDescent="0.15">
      <c r="A889" s="221"/>
      <c r="B889" s="221"/>
      <c r="C889" s="221"/>
      <c r="D889" s="210" t="s">
        <v>153</v>
      </c>
      <c r="E889" s="212">
        <v>1</v>
      </c>
      <c r="F889" s="212">
        <v>24193</v>
      </c>
      <c r="G889" s="212">
        <v>24193</v>
      </c>
      <c r="H889" s="212">
        <v>0</v>
      </c>
      <c r="I889" s="212">
        <v>0</v>
      </c>
      <c r="J889" s="212">
        <v>24193</v>
      </c>
    </row>
    <row r="890" spans="1:10" ht="14.1" customHeight="1" x14ac:dyDescent="0.15">
      <c r="A890" s="221"/>
      <c r="B890" s="221"/>
      <c r="C890" s="221"/>
      <c r="D890" s="210" t="s">
        <v>142</v>
      </c>
      <c r="E890" s="212">
        <v>1</v>
      </c>
      <c r="F890" s="212">
        <v>4097</v>
      </c>
      <c r="G890" s="212">
        <v>4097</v>
      </c>
      <c r="H890" s="212">
        <v>0</v>
      </c>
      <c r="I890" s="212">
        <v>0</v>
      </c>
      <c r="J890" s="212">
        <v>4097</v>
      </c>
    </row>
    <row r="891" spans="1:10" ht="14.1" customHeight="1" x14ac:dyDescent="0.15">
      <c r="A891" s="221"/>
      <c r="B891" s="221"/>
      <c r="C891" s="221"/>
      <c r="D891" s="210" t="s">
        <v>137</v>
      </c>
      <c r="E891" s="212">
        <v>17</v>
      </c>
      <c r="F891" s="212">
        <v>4097</v>
      </c>
      <c r="G891" s="212">
        <v>69649</v>
      </c>
      <c r="H891" s="212">
        <v>0</v>
      </c>
      <c r="I891" s="212">
        <v>0</v>
      </c>
      <c r="J891" s="212">
        <v>69649</v>
      </c>
    </row>
    <row r="892" spans="1:10" ht="14.1" customHeight="1" x14ac:dyDescent="0.15">
      <c r="A892" s="221"/>
      <c r="B892" s="221"/>
      <c r="C892" s="221"/>
      <c r="D892" s="210" t="s">
        <v>143</v>
      </c>
      <c r="E892" s="212">
        <v>13</v>
      </c>
      <c r="F892" s="212">
        <v>5103</v>
      </c>
      <c r="G892" s="212">
        <v>66339</v>
      </c>
      <c r="H892" s="212">
        <v>0</v>
      </c>
      <c r="I892" s="212">
        <v>0</v>
      </c>
      <c r="J892" s="212">
        <v>66339</v>
      </c>
    </row>
    <row r="893" spans="1:10" ht="14.1" customHeight="1" x14ac:dyDescent="0.15">
      <c r="A893" s="221"/>
      <c r="B893" s="221"/>
      <c r="C893" s="221"/>
      <c r="D893" s="210" t="s">
        <v>138</v>
      </c>
      <c r="E893" s="212">
        <v>60</v>
      </c>
      <c r="F893" s="212">
        <v>5103</v>
      </c>
      <c r="G893" s="212">
        <v>306180</v>
      </c>
      <c r="H893" s="212">
        <v>0</v>
      </c>
      <c r="I893" s="212">
        <v>0</v>
      </c>
      <c r="J893" s="212">
        <v>306180</v>
      </c>
    </row>
    <row r="894" spans="1:10" ht="29.1" customHeight="1" x14ac:dyDescent="0.15">
      <c r="A894" s="221"/>
      <c r="B894" s="221"/>
      <c r="C894" s="222" t="s">
        <v>159</v>
      </c>
      <c r="D894" s="210" t="s">
        <v>70</v>
      </c>
      <c r="E894" s="212">
        <v>1</v>
      </c>
      <c r="F894" s="212">
        <v>3986</v>
      </c>
      <c r="G894" s="212">
        <v>3986</v>
      </c>
      <c r="H894" s="212">
        <v>1421</v>
      </c>
      <c r="I894" s="212">
        <v>1421</v>
      </c>
      <c r="J894" s="212">
        <v>2565</v>
      </c>
    </row>
    <row r="895" spans="1:10" ht="14.1" customHeight="1" x14ac:dyDescent="0.15">
      <c r="A895" s="221"/>
      <c r="B895" s="221"/>
      <c r="C895" s="221"/>
      <c r="D895" s="210" t="s">
        <v>79</v>
      </c>
      <c r="E895" s="212">
        <v>73</v>
      </c>
      <c r="F895" s="212">
        <v>28332</v>
      </c>
      <c r="G895" s="212">
        <v>2068236</v>
      </c>
      <c r="H895" s="212">
        <v>1421</v>
      </c>
      <c r="I895" s="212">
        <v>103733</v>
      </c>
      <c r="J895" s="212">
        <v>1964503</v>
      </c>
    </row>
    <row r="896" spans="1:10" ht="14.1" customHeight="1" x14ac:dyDescent="0.15">
      <c r="A896" s="221"/>
      <c r="B896" s="221"/>
      <c r="C896" s="221"/>
      <c r="D896" s="210" t="s">
        <v>73</v>
      </c>
      <c r="E896" s="212">
        <v>2</v>
      </c>
      <c r="F896" s="212">
        <v>14548</v>
      </c>
      <c r="G896" s="212">
        <v>29096</v>
      </c>
      <c r="H896" s="212">
        <v>1421</v>
      </c>
      <c r="I896" s="212">
        <v>2842</v>
      </c>
      <c r="J896" s="212">
        <v>26254</v>
      </c>
    </row>
    <row r="897" spans="1:10" ht="14.1" customHeight="1" x14ac:dyDescent="0.15">
      <c r="A897" s="221"/>
      <c r="B897" s="221"/>
      <c r="C897" s="221"/>
      <c r="D897" s="210" t="s">
        <v>71</v>
      </c>
      <c r="E897" s="212">
        <v>5</v>
      </c>
      <c r="F897" s="212">
        <v>8249</v>
      </c>
      <c r="G897" s="212">
        <v>41245</v>
      </c>
      <c r="H897" s="212">
        <v>1421</v>
      </c>
      <c r="I897" s="212">
        <v>7105</v>
      </c>
      <c r="J897" s="212">
        <v>34140</v>
      </c>
    </row>
    <row r="898" spans="1:10" ht="14.1" customHeight="1" x14ac:dyDescent="0.15">
      <c r="A898" s="221"/>
      <c r="B898" s="221"/>
      <c r="C898" s="221"/>
      <c r="D898" s="210" t="s">
        <v>139</v>
      </c>
      <c r="E898" s="212">
        <v>52</v>
      </c>
      <c r="F898" s="212">
        <v>5518</v>
      </c>
      <c r="G898" s="212">
        <v>286936</v>
      </c>
      <c r="H898" s="212">
        <v>1421</v>
      </c>
      <c r="I898" s="212">
        <v>73892</v>
      </c>
      <c r="J898" s="212">
        <v>213044</v>
      </c>
    </row>
    <row r="899" spans="1:10" ht="14.1" customHeight="1" x14ac:dyDescent="0.15">
      <c r="A899" s="221"/>
      <c r="B899" s="221"/>
      <c r="C899" s="221"/>
      <c r="D899" s="210" t="s">
        <v>140</v>
      </c>
      <c r="E899" s="212">
        <v>8</v>
      </c>
      <c r="F899" s="212">
        <v>6524</v>
      </c>
      <c r="G899" s="212">
        <v>52192</v>
      </c>
      <c r="H899" s="212">
        <v>1421</v>
      </c>
      <c r="I899" s="212">
        <v>11368</v>
      </c>
      <c r="J899" s="212">
        <v>40824</v>
      </c>
    </row>
    <row r="900" spans="1:10" ht="29.1" customHeight="1" x14ac:dyDescent="0.15">
      <c r="A900" s="221"/>
      <c r="B900" s="221"/>
      <c r="C900" s="209" t="s">
        <v>160</v>
      </c>
      <c r="D900" s="210" t="s">
        <v>139</v>
      </c>
      <c r="E900" s="212">
        <v>59</v>
      </c>
      <c r="F900" s="212">
        <v>5227</v>
      </c>
      <c r="G900" s="212">
        <v>308411</v>
      </c>
      <c r="H900" s="212">
        <v>1367</v>
      </c>
      <c r="I900" s="212">
        <v>80653</v>
      </c>
      <c r="J900" s="212">
        <v>227758</v>
      </c>
    </row>
    <row r="901" spans="1:10" ht="29.1" customHeight="1" x14ac:dyDescent="0.15">
      <c r="A901" s="221"/>
      <c r="B901" s="221"/>
      <c r="C901" s="222" t="s">
        <v>161</v>
      </c>
      <c r="D901" s="210" t="s">
        <v>101</v>
      </c>
      <c r="E901" s="212">
        <v>15</v>
      </c>
      <c r="F901" s="212">
        <v>45688</v>
      </c>
      <c r="G901" s="212">
        <v>685320</v>
      </c>
      <c r="H901" s="212">
        <v>702</v>
      </c>
      <c r="I901" s="212">
        <v>10530</v>
      </c>
      <c r="J901" s="212">
        <v>674790</v>
      </c>
    </row>
    <row r="902" spans="1:10" ht="14.1" customHeight="1" x14ac:dyDescent="0.15">
      <c r="A902" s="221"/>
      <c r="B902" s="221"/>
      <c r="C902" s="221"/>
      <c r="D902" s="210" t="s">
        <v>79</v>
      </c>
      <c r="E902" s="212">
        <v>940</v>
      </c>
      <c r="F902" s="212">
        <v>27613</v>
      </c>
      <c r="G902" s="212">
        <v>25956220</v>
      </c>
      <c r="H902" s="212">
        <v>702</v>
      </c>
      <c r="I902" s="212">
        <v>659880</v>
      </c>
      <c r="J902" s="212">
        <v>25296340</v>
      </c>
    </row>
    <row r="903" spans="1:10" ht="14.1" customHeight="1" x14ac:dyDescent="0.15">
      <c r="A903" s="221"/>
      <c r="B903" s="221"/>
      <c r="C903" s="221"/>
      <c r="D903" s="210" t="s">
        <v>73</v>
      </c>
      <c r="E903" s="212">
        <v>1677</v>
      </c>
      <c r="F903" s="212">
        <v>13829</v>
      </c>
      <c r="G903" s="212">
        <v>23191233</v>
      </c>
      <c r="H903" s="212">
        <v>702</v>
      </c>
      <c r="I903" s="212">
        <v>1177254</v>
      </c>
      <c r="J903" s="212">
        <v>22013979</v>
      </c>
    </row>
    <row r="904" spans="1:10" ht="14.1" customHeight="1" x14ac:dyDescent="0.15">
      <c r="A904" s="221"/>
      <c r="B904" s="221"/>
      <c r="C904" s="221"/>
      <c r="D904" s="210" t="s">
        <v>74</v>
      </c>
      <c r="E904" s="212">
        <v>20</v>
      </c>
      <c r="F904" s="212">
        <v>10742</v>
      </c>
      <c r="G904" s="212">
        <v>214840</v>
      </c>
      <c r="H904" s="212">
        <v>702</v>
      </c>
      <c r="I904" s="212">
        <v>14040</v>
      </c>
      <c r="J904" s="212">
        <v>200800</v>
      </c>
    </row>
    <row r="905" spans="1:10" ht="14.1" customHeight="1" x14ac:dyDescent="0.15">
      <c r="A905" s="221"/>
      <c r="B905" s="221"/>
      <c r="C905" s="221"/>
      <c r="D905" s="210" t="s">
        <v>71</v>
      </c>
      <c r="E905" s="212">
        <v>278</v>
      </c>
      <c r="F905" s="212">
        <v>7530</v>
      </c>
      <c r="G905" s="212">
        <v>2093340</v>
      </c>
      <c r="H905" s="212">
        <v>702</v>
      </c>
      <c r="I905" s="212">
        <v>195156</v>
      </c>
      <c r="J905" s="212">
        <v>1898184</v>
      </c>
    </row>
    <row r="906" spans="1:10" ht="14.1" customHeight="1" x14ac:dyDescent="0.15">
      <c r="A906" s="221"/>
      <c r="B906" s="221"/>
      <c r="C906" s="221"/>
      <c r="D906" s="210" t="s">
        <v>72</v>
      </c>
      <c r="E906" s="212">
        <v>11</v>
      </c>
      <c r="F906" s="212">
        <v>4953</v>
      </c>
      <c r="G906" s="212">
        <v>54483</v>
      </c>
      <c r="H906" s="212">
        <v>702</v>
      </c>
      <c r="I906" s="212">
        <v>7722</v>
      </c>
      <c r="J906" s="212">
        <v>46761</v>
      </c>
    </row>
    <row r="907" spans="1:10" ht="14.1" customHeight="1" x14ac:dyDescent="0.15">
      <c r="A907" s="221"/>
      <c r="B907" s="221"/>
      <c r="C907" s="221"/>
      <c r="D907" s="210" t="s">
        <v>75</v>
      </c>
      <c r="E907" s="212">
        <v>3</v>
      </c>
      <c r="F907" s="212">
        <v>1907</v>
      </c>
      <c r="G907" s="212">
        <v>5721</v>
      </c>
      <c r="H907" s="212">
        <v>702</v>
      </c>
      <c r="I907" s="212">
        <v>2106</v>
      </c>
      <c r="J907" s="212">
        <v>3615</v>
      </c>
    </row>
    <row r="908" spans="1:10" ht="14.1" customHeight="1" x14ac:dyDescent="0.15">
      <c r="A908" s="221"/>
      <c r="B908" s="221"/>
      <c r="C908" s="221"/>
      <c r="D908" s="210" t="s">
        <v>69</v>
      </c>
      <c r="E908" s="212">
        <v>23</v>
      </c>
      <c r="F908" s="212">
        <v>24895</v>
      </c>
      <c r="G908" s="212">
        <v>572585</v>
      </c>
      <c r="H908" s="212">
        <v>702</v>
      </c>
      <c r="I908" s="212">
        <v>16146</v>
      </c>
      <c r="J908" s="212">
        <v>556439</v>
      </c>
    </row>
    <row r="909" spans="1:10" ht="14.1" customHeight="1" x14ac:dyDescent="0.15">
      <c r="A909" s="221"/>
      <c r="B909" s="221"/>
      <c r="C909" s="221"/>
      <c r="D909" s="210" t="s">
        <v>139</v>
      </c>
      <c r="E909" s="212">
        <v>663</v>
      </c>
      <c r="F909" s="212">
        <v>4799</v>
      </c>
      <c r="G909" s="212">
        <v>3181737</v>
      </c>
      <c r="H909" s="212">
        <v>702</v>
      </c>
      <c r="I909" s="212">
        <v>465426</v>
      </c>
      <c r="J909" s="212">
        <v>2716311</v>
      </c>
    </row>
    <row r="910" spans="1:10" ht="14.1" customHeight="1" x14ac:dyDescent="0.15">
      <c r="A910" s="221"/>
      <c r="B910" s="221"/>
      <c r="C910" s="221"/>
      <c r="D910" s="210" t="s">
        <v>140</v>
      </c>
      <c r="E910" s="212">
        <v>616</v>
      </c>
      <c r="F910" s="212">
        <v>5805</v>
      </c>
      <c r="G910" s="212">
        <v>3575880</v>
      </c>
      <c r="H910" s="212">
        <v>702</v>
      </c>
      <c r="I910" s="212">
        <v>432432</v>
      </c>
      <c r="J910" s="212">
        <v>3143448</v>
      </c>
    </row>
    <row r="911" spans="1:10" ht="14.1" customHeight="1" x14ac:dyDescent="0.15">
      <c r="A911" s="221"/>
      <c r="B911" s="220" t="s">
        <v>168</v>
      </c>
      <c r="C911" s="223" t="s">
        <v>67</v>
      </c>
      <c r="D911" s="210" t="s">
        <v>145</v>
      </c>
      <c r="E911" s="212">
        <v>1</v>
      </c>
      <c r="F911" s="212">
        <v>26911</v>
      </c>
      <c r="G911" s="212">
        <v>26911</v>
      </c>
      <c r="H911" s="212">
        <v>925</v>
      </c>
      <c r="I911" s="212">
        <v>925</v>
      </c>
      <c r="J911" s="212">
        <v>25986</v>
      </c>
    </row>
    <row r="912" spans="1:10" ht="14.1" customHeight="1" x14ac:dyDescent="0.15">
      <c r="A912" s="221"/>
      <c r="B912" s="221"/>
      <c r="C912" s="221"/>
      <c r="D912" s="210" t="s">
        <v>85</v>
      </c>
      <c r="E912" s="212">
        <v>1</v>
      </c>
      <c r="F912" s="212">
        <v>26911</v>
      </c>
      <c r="G912" s="212">
        <v>26911</v>
      </c>
      <c r="H912" s="212">
        <v>925</v>
      </c>
      <c r="I912" s="212">
        <v>925</v>
      </c>
      <c r="J912" s="212">
        <v>25986</v>
      </c>
    </row>
    <row r="913" spans="1:10" ht="14.1" customHeight="1" x14ac:dyDescent="0.15">
      <c r="A913" s="221"/>
      <c r="B913" s="221"/>
      <c r="C913" s="221"/>
      <c r="D913" s="210" t="s">
        <v>77</v>
      </c>
      <c r="E913" s="212">
        <v>1</v>
      </c>
      <c r="F913" s="212">
        <v>6828</v>
      </c>
      <c r="G913" s="212">
        <v>6828</v>
      </c>
      <c r="H913" s="212">
        <v>925</v>
      </c>
      <c r="I913" s="212">
        <v>925</v>
      </c>
      <c r="J913" s="212">
        <v>5903</v>
      </c>
    </row>
    <row r="914" spans="1:10" ht="29.1" customHeight="1" x14ac:dyDescent="0.15">
      <c r="A914" s="221"/>
      <c r="B914" s="221"/>
      <c r="C914" s="209" t="s">
        <v>159</v>
      </c>
      <c r="D914" s="210" t="s">
        <v>79</v>
      </c>
      <c r="E914" s="212">
        <v>1</v>
      </c>
      <c r="F914" s="212">
        <v>28332</v>
      </c>
      <c r="G914" s="212">
        <v>28332</v>
      </c>
      <c r="H914" s="212">
        <v>2346</v>
      </c>
      <c r="I914" s="212">
        <v>2346</v>
      </c>
      <c r="J914" s="212">
        <v>25986</v>
      </c>
    </row>
    <row r="915" spans="1:10" ht="29.1" customHeight="1" x14ac:dyDescent="0.15">
      <c r="A915" s="221"/>
      <c r="B915" s="221"/>
      <c r="C915" s="222" t="s">
        <v>161</v>
      </c>
      <c r="D915" s="210" t="s">
        <v>101</v>
      </c>
      <c r="E915" s="212">
        <v>2</v>
      </c>
      <c r="F915" s="212">
        <v>45688</v>
      </c>
      <c r="G915" s="212">
        <v>91376</v>
      </c>
      <c r="H915" s="212">
        <v>1627</v>
      </c>
      <c r="I915" s="212">
        <v>3254</v>
      </c>
      <c r="J915" s="212">
        <v>88122</v>
      </c>
    </row>
    <row r="916" spans="1:10" ht="14.1" customHeight="1" x14ac:dyDescent="0.15">
      <c r="A916" s="221"/>
      <c r="B916" s="221"/>
      <c r="C916" s="221"/>
      <c r="D916" s="210" t="s">
        <v>79</v>
      </c>
      <c r="E916" s="212">
        <v>52</v>
      </c>
      <c r="F916" s="212">
        <v>27613</v>
      </c>
      <c r="G916" s="212">
        <v>1435876</v>
      </c>
      <c r="H916" s="212">
        <v>1627</v>
      </c>
      <c r="I916" s="212">
        <v>84604</v>
      </c>
      <c r="J916" s="212">
        <v>1351272</v>
      </c>
    </row>
    <row r="917" spans="1:10" ht="14.1" customHeight="1" x14ac:dyDescent="0.15">
      <c r="A917" s="221"/>
      <c r="B917" s="221"/>
      <c r="C917" s="221"/>
      <c r="D917" s="210" t="s">
        <v>73</v>
      </c>
      <c r="E917" s="212">
        <v>29</v>
      </c>
      <c r="F917" s="212">
        <v>13829</v>
      </c>
      <c r="G917" s="212">
        <v>401041</v>
      </c>
      <c r="H917" s="212">
        <v>1627</v>
      </c>
      <c r="I917" s="212">
        <v>47183</v>
      </c>
      <c r="J917" s="212">
        <v>353858</v>
      </c>
    </row>
    <row r="918" spans="1:10" ht="14.1" customHeight="1" x14ac:dyDescent="0.15">
      <c r="A918" s="221"/>
      <c r="B918" s="221"/>
      <c r="C918" s="221"/>
      <c r="D918" s="210" t="s">
        <v>71</v>
      </c>
      <c r="E918" s="212">
        <v>68</v>
      </c>
      <c r="F918" s="212">
        <v>7530</v>
      </c>
      <c r="G918" s="212">
        <v>512040</v>
      </c>
      <c r="H918" s="212">
        <v>1627</v>
      </c>
      <c r="I918" s="212">
        <v>110636</v>
      </c>
      <c r="J918" s="212">
        <v>401404</v>
      </c>
    </row>
    <row r="919" spans="1:10" ht="14.1" customHeight="1" x14ac:dyDescent="0.15">
      <c r="A919" s="221"/>
      <c r="B919" s="221"/>
      <c r="C919" s="221"/>
      <c r="D919" s="210" t="s">
        <v>72</v>
      </c>
      <c r="E919" s="212">
        <v>1</v>
      </c>
      <c r="F919" s="212">
        <v>4953</v>
      </c>
      <c r="G919" s="212">
        <v>4953</v>
      </c>
      <c r="H919" s="212">
        <v>1627</v>
      </c>
      <c r="I919" s="212">
        <v>1627</v>
      </c>
      <c r="J919" s="212">
        <v>3326</v>
      </c>
    </row>
    <row r="920" spans="1:10" ht="14.1" customHeight="1" x14ac:dyDescent="0.15">
      <c r="A920" s="221"/>
      <c r="B920" s="221"/>
      <c r="C920" s="221"/>
      <c r="D920" s="210" t="s">
        <v>82</v>
      </c>
      <c r="E920" s="212">
        <v>20</v>
      </c>
      <c r="F920" s="212">
        <v>3112</v>
      </c>
      <c r="G920" s="212">
        <v>62240</v>
      </c>
      <c r="H920" s="212">
        <v>1627</v>
      </c>
      <c r="I920" s="212">
        <v>32540</v>
      </c>
      <c r="J920" s="212">
        <v>29700</v>
      </c>
    </row>
    <row r="921" spans="1:10" ht="14.1" customHeight="1" x14ac:dyDescent="0.15">
      <c r="A921" s="221"/>
      <c r="B921" s="221"/>
      <c r="C921" s="221"/>
      <c r="D921" s="210" t="s">
        <v>75</v>
      </c>
      <c r="E921" s="212">
        <v>27</v>
      </c>
      <c r="F921" s="212">
        <v>1907</v>
      </c>
      <c r="G921" s="212">
        <v>51489</v>
      </c>
      <c r="H921" s="212">
        <v>1627</v>
      </c>
      <c r="I921" s="212">
        <v>43929</v>
      </c>
      <c r="J921" s="212">
        <v>7560</v>
      </c>
    </row>
    <row r="922" spans="1:10" ht="14.1" customHeight="1" x14ac:dyDescent="0.15">
      <c r="A922" s="221" t="s">
        <v>50</v>
      </c>
      <c r="B922" s="221" t="s">
        <v>53</v>
      </c>
      <c r="C922" s="221"/>
      <c r="D922" s="221"/>
      <c r="E922" s="212">
        <v>21295</v>
      </c>
      <c r="F922" s="212">
        <v>807204</v>
      </c>
      <c r="G922" s="212">
        <v>268910989</v>
      </c>
      <c r="H922" s="212"/>
      <c r="I922" s="212">
        <v>31100239</v>
      </c>
      <c r="J922" s="212">
        <v>237810750</v>
      </c>
    </row>
    <row r="923" spans="1:10" ht="14.1" customHeight="1" x14ac:dyDescent="0.15">
      <c r="A923" s="221"/>
      <c r="B923" s="210" t="s">
        <v>63</v>
      </c>
      <c r="C923" s="210" t="s">
        <v>64</v>
      </c>
      <c r="D923" s="210" t="s">
        <v>65</v>
      </c>
      <c r="E923" s="218">
        <v>33</v>
      </c>
      <c r="F923" s="218">
        <v>10139</v>
      </c>
      <c r="G923" s="218">
        <v>334587</v>
      </c>
      <c r="H923" s="218">
        <v>0</v>
      </c>
      <c r="I923" s="218">
        <v>0</v>
      </c>
      <c r="J923" s="218">
        <v>334587</v>
      </c>
    </row>
    <row r="924" spans="1:10" ht="14.1" customHeight="1" x14ac:dyDescent="0.15">
      <c r="A924" s="221"/>
      <c r="B924" s="220" t="s">
        <v>66</v>
      </c>
      <c r="C924" s="223" t="s">
        <v>67</v>
      </c>
      <c r="D924" s="210" t="s">
        <v>134</v>
      </c>
      <c r="E924" s="219"/>
      <c r="F924" s="219"/>
      <c r="G924" s="219"/>
      <c r="H924" s="219"/>
      <c r="I924" s="219"/>
      <c r="J924" s="219"/>
    </row>
    <row r="925" spans="1:10" ht="14.1" customHeight="1" x14ac:dyDescent="0.15">
      <c r="A925" s="221"/>
      <c r="B925" s="221"/>
      <c r="C925" s="221"/>
      <c r="D925" s="210" t="s">
        <v>132</v>
      </c>
      <c r="E925" s="212">
        <v>477</v>
      </c>
      <c r="F925" s="212">
        <v>10139</v>
      </c>
      <c r="G925" s="212">
        <v>4836303</v>
      </c>
      <c r="H925" s="212">
        <v>0</v>
      </c>
      <c r="I925" s="212">
        <v>0</v>
      </c>
      <c r="J925" s="212">
        <v>4836303</v>
      </c>
    </row>
    <row r="926" spans="1:10" ht="29.1" customHeight="1" x14ac:dyDescent="0.15">
      <c r="A926" s="221"/>
      <c r="B926" s="221"/>
      <c r="C926" s="209" t="s">
        <v>159</v>
      </c>
      <c r="D926" s="210" t="s">
        <v>133</v>
      </c>
      <c r="E926" s="212">
        <v>8</v>
      </c>
      <c r="F926" s="212">
        <v>11560</v>
      </c>
      <c r="G926" s="212">
        <v>92480</v>
      </c>
      <c r="H926" s="212">
        <v>2346</v>
      </c>
      <c r="I926" s="212">
        <v>18768</v>
      </c>
      <c r="J926" s="212">
        <v>73712</v>
      </c>
    </row>
    <row r="927" spans="1:10" ht="29.1" customHeight="1" x14ac:dyDescent="0.15">
      <c r="A927" s="221"/>
      <c r="B927" s="221"/>
      <c r="C927" s="209" t="s">
        <v>161</v>
      </c>
      <c r="D927" s="210" t="s">
        <v>133</v>
      </c>
      <c r="E927" s="212">
        <v>2685</v>
      </c>
      <c r="F927" s="212">
        <v>10841</v>
      </c>
      <c r="G927" s="212">
        <v>29108085</v>
      </c>
      <c r="H927" s="212">
        <v>1627</v>
      </c>
      <c r="I927" s="212">
        <v>4368495</v>
      </c>
      <c r="J927" s="212">
        <v>24739590</v>
      </c>
    </row>
    <row r="928" spans="1:10" ht="42.95" customHeight="1" x14ac:dyDescent="0.15">
      <c r="A928" s="221"/>
      <c r="B928" s="222" t="s">
        <v>215</v>
      </c>
      <c r="C928" s="223" t="s">
        <v>67</v>
      </c>
      <c r="D928" s="210" t="s">
        <v>145</v>
      </c>
      <c r="E928" s="212">
        <v>3</v>
      </c>
      <c r="F928" s="212">
        <v>26911</v>
      </c>
      <c r="G928" s="212">
        <v>80733</v>
      </c>
      <c r="H928" s="212">
        <v>0</v>
      </c>
      <c r="I928" s="212">
        <v>0</v>
      </c>
      <c r="J928" s="212">
        <v>80733</v>
      </c>
    </row>
    <row r="929" spans="1:10" ht="14.1" customHeight="1" x14ac:dyDescent="0.15">
      <c r="A929" s="221"/>
      <c r="B929" s="221"/>
      <c r="C929" s="221"/>
      <c r="D929" s="210" t="s">
        <v>85</v>
      </c>
      <c r="E929" s="212">
        <v>8</v>
      </c>
      <c r="F929" s="212">
        <v>26911</v>
      </c>
      <c r="G929" s="212">
        <v>215288</v>
      </c>
      <c r="H929" s="212">
        <v>0</v>
      </c>
      <c r="I929" s="212">
        <v>0</v>
      </c>
      <c r="J929" s="212">
        <v>215288</v>
      </c>
    </row>
    <row r="930" spans="1:10" ht="14.1" customHeight="1" x14ac:dyDescent="0.15">
      <c r="A930" s="221"/>
      <c r="B930" s="221"/>
      <c r="C930" s="221"/>
      <c r="D930" s="210" t="s">
        <v>141</v>
      </c>
      <c r="E930" s="212">
        <v>2</v>
      </c>
      <c r="F930" s="212">
        <v>13127</v>
      </c>
      <c r="G930" s="212">
        <v>26254</v>
      </c>
      <c r="H930" s="212">
        <v>0</v>
      </c>
      <c r="I930" s="212">
        <v>0</v>
      </c>
      <c r="J930" s="212">
        <v>26254</v>
      </c>
    </row>
    <row r="931" spans="1:10" ht="14.1" customHeight="1" x14ac:dyDescent="0.15">
      <c r="A931" s="221"/>
      <c r="B931" s="221"/>
      <c r="C931" s="221"/>
      <c r="D931" s="210" t="s">
        <v>78</v>
      </c>
      <c r="E931" s="212">
        <v>1</v>
      </c>
      <c r="F931" s="212">
        <v>13127</v>
      </c>
      <c r="G931" s="212">
        <v>13127</v>
      </c>
      <c r="H931" s="212">
        <v>0</v>
      </c>
      <c r="I931" s="212">
        <v>0</v>
      </c>
      <c r="J931" s="212">
        <v>13127</v>
      </c>
    </row>
    <row r="932" spans="1:10" ht="14.1" customHeight="1" x14ac:dyDescent="0.15">
      <c r="A932" s="221"/>
      <c r="B932" s="221"/>
      <c r="C932" s="221"/>
      <c r="D932" s="210" t="s">
        <v>146</v>
      </c>
      <c r="E932" s="212">
        <v>1</v>
      </c>
      <c r="F932" s="212">
        <v>10040</v>
      </c>
      <c r="G932" s="212">
        <v>10040</v>
      </c>
      <c r="H932" s="212">
        <v>0</v>
      </c>
      <c r="I932" s="212">
        <v>0</v>
      </c>
      <c r="J932" s="212">
        <v>10040</v>
      </c>
    </row>
    <row r="933" spans="1:10" ht="14.1" customHeight="1" x14ac:dyDescent="0.15">
      <c r="A933" s="221"/>
      <c r="B933" s="221"/>
      <c r="C933" s="221"/>
      <c r="D933" s="210" t="s">
        <v>136</v>
      </c>
      <c r="E933" s="212">
        <v>3</v>
      </c>
      <c r="F933" s="212">
        <v>6828</v>
      </c>
      <c r="G933" s="212">
        <v>20484</v>
      </c>
      <c r="H933" s="212">
        <v>0</v>
      </c>
      <c r="I933" s="212">
        <v>0</v>
      </c>
      <c r="J933" s="212">
        <v>20484</v>
      </c>
    </row>
    <row r="934" spans="1:10" ht="14.1" customHeight="1" x14ac:dyDescent="0.15">
      <c r="A934" s="221"/>
      <c r="B934" s="221"/>
      <c r="C934" s="221"/>
      <c r="D934" s="210" t="s">
        <v>77</v>
      </c>
      <c r="E934" s="212">
        <v>2</v>
      </c>
      <c r="F934" s="212">
        <v>6828</v>
      </c>
      <c r="G934" s="212">
        <v>13656</v>
      </c>
      <c r="H934" s="212">
        <v>0</v>
      </c>
      <c r="I934" s="212">
        <v>0</v>
      </c>
      <c r="J934" s="212">
        <v>13656</v>
      </c>
    </row>
    <row r="935" spans="1:10" ht="14.1" customHeight="1" x14ac:dyDescent="0.15">
      <c r="A935" s="221"/>
      <c r="B935" s="221"/>
      <c r="C935" s="221"/>
      <c r="D935" s="210" t="s">
        <v>84</v>
      </c>
      <c r="E935" s="212">
        <v>5</v>
      </c>
      <c r="F935" s="212">
        <v>2410</v>
      </c>
      <c r="G935" s="212">
        <v>12050</v>
      </c>
      <c r="H935" s="212">
        <v>0</v>
      </c>
      <c r="I935" s="212">
        <v>0</v>
      </c>
      <c r="J935" s="212">
        <v>12050</v>
      </c>
    </row>
    <row r="936" spans="1:10" ht="14.1" customHeight="1" x14ac:dyDescent="0.15">
      <c r="A936" s="221"/>
      <c r="B936" s="221"/>
      <c r="C936" s="221"/>
      <c r="D936" s="210" t="s">
        <v>89</v>
      </c>
      <c r="E936" s="212">
        <v>1</v>
      </c>
      <c r="F936" s="212">
        <v>1205</v>
      </c>
      <c r="G936" s="212">
        <v>1205</v>
      </c>
      <c r="H936" s="212">
        <v>0</v>
      </c>
      <c r="I936" s="212">
        <v>0</v>
      </c>
      <c r="J936" s="212">
        <v>1205</v>
      </c>
    </row>
    <row r="937" spans="1:10" ht="14.1" customHeight="1" x14ac:dyDescent="0.15">
      <c r="A937" s="221"/>
      <c r="B937" s="221"/>
      <c r="C937" s="221"/>
      <c r="D937" s="210" t="s">
        <v>142</v>
      </c>
      <c r="E937" s="212">
        <v>3</v>
      </c>
      <c r="F937" s="212">
        <v>4097</v>
      </c>
      <c r="G937" s="212">
        <v>12291</v>
      </c>
      <c r="H937" s="212">
        <v>0</v>
      </c>
      <c r="I937" s="212">
        <v>0</v>
      </c>
      <c r="J937" s="212">
        <v>12291</v>
      </c>
    </row>
    <row r="938" spans="1:10" ht="14.1" customHeight="1" x14ac:dyDescent="0.15">
      <c r="A938" s="221"/>
      <c r="B938" s="221"/>
      <c r="C938" s="221"/>
      <c r="D938" s="210" t="s">
        <v>137</v>
      </c>
      <c r="E938" s="212">
        <v>70</v>
      </c>
      <c r="F938" s="212">
        <v>4097</v>
      </c>
      <c r="G938" s="212">
        <v>286790</v>
      </c>
      <c r="H938" s="212">
        <v>0</v>
      </c>
      <c r="I938" s="212">
        <v>0</v>
      </c>
      <c r="J938" s="212">
        <v>286790</v>
      </c>
    </row>
    <row r="939" spans="1:10" ht="14.1" customHeight="1" x14ac:dyDescent="0.15">
      <c r="A939" s="221"/>
      <c r="B939" s="221"/>
      <c r="C939" s="221"/>
      <c r="D939" s="210" t="s">
        <v>143</v>
      </c>
      <c r="E939" s="212">
        <v>8</v>
      </c>
      <c r="F939" s="212">
        <v>5103</v>
      </c>
      <c r="G939" s="212">
        <v>40824</v>
      </c>
      <c r="H939" s="212">
        <v>0</v>
      </c>
      <c r="I939" s="212">
        <v>0</v>
      </c>
      <c r="J939" s="212">
        <v>40824</v>
      </c>
    </row>
    <row r="940" spans="1:10" ht="14.1" customHeight="1" x14ac:dyDescent="0.15">
      <c r="A940" s="221"/>
      <c r="B940" s="221"/>
      <c r="C940" s="221"/>
      <c r="D940" s="210" t="s">
        <v>138</v>
      </c>
      <c r="E940" s="212">
        <v>57</v>
      </c>
      <c r="F940" s="212">
        <v>5103</v>
      </c>
      <c r="G940" s="212">
        <v>290871</v>
      </c>
      <c r="H940" s="212">
        <v>0</v>
      </c>
      <c r="I940" s="212">
        <v>0</v>
      </c>
      <c r="J940" s="212">
        <v>290871</v>
      </c>
    </row>
    <row r="941" spans="1:10" ht="29.1" customHeight="1" x14ac:dyDescent="0.15">
      <c r="A941" s="221"/>
      <c r="B941" s="221"/>
      <c r="C941" s="222" t="s">
        <v>159</v>
      </c>
      <c r="D941" s="210" t="s">
        <v>70</v>
      </c>
      <c r="E941" s="212">
        <v>9</v>
      </c>
      <c r="F941" s="212">
        <v>3986</v>
      </c>
      <c r="G941" s="212">
        <v>35874</v>
      </c>
      <c r="H941" s="212">
        <v>1421</v>
      </c>
      <c r="I941" s="212">
        <v>12789</v>
      </c>
      <c r="J941" s="212">
        <v>23085</v>
      </c>
    </row>
    <row r="942" spans="1:10" ht="14.1" customHeight="1" x14ac:dyDescent="0.15">
      <c r="A942" s="221"/>
      <c r="B942" s="221"/>
      <c r="C942" s="221"/>
      <c r="D942" s="210" t="s">
        <v>79</v>
      </c>
      <c r="E942" s="212">
        <v>1</v>
      </c>
      <c r="F942" s="212">
        <v>28332</v>
      </c>
      <c r="G942" s="212">
        <v>28332</v>
      </c>
      <c r="H942" s="212">
        <v>1421</v>
      </c>
      <c r="I942" s="212">
        <v>1421</v>
      </c>
      <c r="J942" s="212">
        <v>26911</v>
      </c>
    </row>
    <row r="943" spans="1:10" ht="14.1" customHeight="1" x14ac:dyDescent="0.15">
      <c r="A943" s="221"/>
      <c r="B943" s="221"/>
      <c r="C943" s="221"/>
      <c r="D943" s="210" t="s">
        <v>82</v>
      </c>
      <c r="E943" s="212">
        <v>7</v>
      </c>
      <c r="F943" s="212">
        <v>3831</v>
      </c>
      <c r="G943" s="212">
        <v>26817</v>
      </c>
      <c r="H943" s="212">
        <v>1421</v>
      </c>
      <c r="I943" s="212">
        <v>9947</v>
      </c>
      <c r="J943" s="212">
        <v>16870</v>
      </c>
    </row>
    <row r="944" spans="1:10" ht="14.1" customHeight="1" x14ac:dyDescent="0.15">
      <c r="A944" s="221"/>
      <c r="B944" s="221"/>
      <c r="C944" s="221"/>
      <c r="D944" s="210" t="s">
        <v>69</v>
      </c>
      <c r="E944" s="212">
        <v>2</v>
      </c>
      <c r="F944" s="212">
        <v>25614</v>
      </c>
      <c r="G944" s="212">
        <v>51228</v>
      </c>
      <c r="H944" s="212">
        <v>1421</v>
      </c>
      <c r="I944" s="212">
        <v>2842</v>
      </c>
      <c r="J944" s="212">
        <v>48386</v>
      </c>
    </row>
    <row r="945" spans="1:10" ht="14.1" customHeight="1" x14ac:dyDescent="0.15">
      <c r="A945" s="221"/>
      <c r="B945" s="221"/>
      <c r="C945" s="221"/>
      <c r="D945" s="210" t="s">
        <v>139</v>
      </c>
      <c r="E945" s="212">
        <v>1</v>
      </c>
      <c r="F945" s="212">
        <v>5518</v>
      </c>
      <c r="G945" s="212">
        <v>5518</v>
      </c>
      <c r="H945" s="212">
        <v>1421</v>
      </c>
      <c r="I945" s="212">
        <v>1421</v>
      </c>
      <c r="J945" s="212">
        <v>4097</v>
      </c>
    </row>
    <row r="946" spans="1:10" ht="14.1" customHeight="1" x14ac:dyDescent="0.15">
      <c r="A946" s="221"/>
      <c r="B946" s="221"/>
      <c r="C946" s="221"/>
      <c r="D946" s="210" t="s">
        <v>140</v>
      </c>
      <c r="E946" s="212">
        <v>1</v>
      </c>
      <c r="F946" s="212">
        <v>6524</v>
      </c>
      <c r="G946" s="212">
        <v>6524</v>
      </c>
      <c r="H946" s="212">
        <v>1421</v>
      </c>
      <c r="I946" s="212">
        <v>1421</v>
      </c>
      <c r="J946" s="212">
        <v>5103</v>
      </c>
    </row>
    <row r="947" spans="1:10" ht="29.1" customHeight="1" x14ac:dyDescent="0.15">
      <c r="A947" s="221"/>
      <c r="B947" s="221"/>
      <c r="C947" s="222" t="s">
        <v>161</v>
      </c>
      <c r="D947" s="210" t="s">
        <v>70</v>
      </c>
      <c r="E947" s="212">
        <v>274</v>
      </c>
      <c r="F947" s="212">
        <v>3267</v>
      </c>
      <c r="G947" s="212">
        <v>895158</v>
      </c>
      <c r="H947" s="212">
        <v>702</v>
      </c>
      <c r="I947" s="212">
        <v>192348</v>
      </c>
      <c r="J947" s="212">
        <v>702810</v>
      </c>
    </row>
    <row r="948" spans="1:10" ht="14.1" customHeight="1" x14ac:dyDescent="0.15">
      <c r="A948" s="221"/>
      <c r="B948" s="221"/>
      <c r="C948" s="221"/>
      <c r="D948" s="210" t="s">
        <v>101</v>
      </c>
      <c r="E948" s="212">
        <v>12</v>
      </c>
      <c r="F948" s="212">
        <v>45688</v>
      </c>
      <c r="G948" s="212">
        <v>548256</v>
      </c>
      <c r="H948" s="212">
        <v>702</v>
      </c>
      <c r="I948" s="212">
        <v>8424</v>
      </c>
      <c r="J948" s="212">
        <v>539832</v>
      </c>
    </row>
    <row r="949" spans="1:10" ht="14.1" customHeight="1" x14ac:dyDescent="0.15">
      <c r="A949" s="221"/>
      <c r="B949" s="221"/>
      <c r="C949" s="221"/>
      <c r="D949" s="210" t="s">
        <v>79</v>
      </c>
      <c r="E949" s="212">
        <v>292</v>
      </c>
      <c r="F949" s="212">
        <v>27613</v>
      </c>
      <c r="G949" s="212">
        <v>8062996</v>
      </c>
      <c r="H949" s="212">
        <v>702</v>
      </c>
      <c r="I949" s="212">
        <v>204984</v>
      </c>
      <c r="J949" s="212">
        <v>7858012</v>
      </c>
    </row>
    <row r="950" spans="1:10" ht="14.1" customHeight="1" x14ac:dyDescent="0.15">
      <c r="A950" s="221"/>
      <c r="B950" s="221"/>
      <c r="C950" s="221"/>
      <c r="D950" s="210" t="s">
        <v>73</v>
      </c>
      <c r="E950" s="212">
        <v>112</v>
      </c>
      <c r="F950" s="212">
        <v>13829</v>
      </c>
      <c r="G950" s="212">
        <v>1548848</v>
      </c>
      <c r="H950" s="212">
        <v>702</v>
      </c>
      <c r="I950" s="212">
        <v>78624</v>
      </c>
      <c r="J950" s="212">
        <v>1470224</v>
      </c>
    </row>
    <row r="951" spans="1:10" ht="14.1" customHeight="1" x14ac:dyDescent="0.15">
      <c r="A951" s="221"/>
      <c r="B951" s="221"/>
      <c r="C951" s="221"/>
      <c r="D951" s="210" t="s">
        <v>74</v>
      </c>
      <c r="E951" s="212">
        <v>16</v>
      </c>
      <c r="F951" s="212">
        <v>10742</v>
      </c>
      <c r="G951" s="212">
        <v>171872</v>
      </c>
      <c r="H951" s="212">
        <v>702</v>
      </c>
      <c r="I951" s="212">
        <v>11232</v>
      </c>
      <c r="J951" s="212">
        <v>160640</v>
      </c>
    </row>
    <row r="952" spans="1:10" ht="14.1" customHeight="1" x14ac:dyDescent="0.15">
      <c r="A952" s="221"/>
      <c r="B952" s="221"/>
      <c r="C952" s="221"/>
      <c r="D952" s="210" t="s">
        <v>71</v>
      </c>
      <c r="E952" s="212">
        <v>173</v>
      </c>
      <c r="F952" s="212">
        <v>7530</v>
      </c>
      <c r="G952" s="212">
        <v>1302690</v>
      </c>
      <c r="H952" s="212">
        <v>702</v>
      </c>
      <c r="I952" s="212">
        <v>121446</v>
      </c>
      <c r="J952" s="212">
        <v>1181244</v>
      </c>
    </row>
    <row r="953" spans="1:10" ht="14.1" customHeight="1" x14ac:dyDescent="0.15">
      <c r="A953" s="221"/>
      <c r="B953" s="221"/>
      <c r="C953" s="221"/>
      <c r="D953" s="210" t="s">
        <v>72</v>
      </c>
      <c r="E953" s="212">
        <v>3</v>
      </c>
      <c r="F953" s="212">
        <v>4953</v>
      </c>
      <c r="G953" s="212">
        <v>14859</v>
      </c>
      <c r="H953" s="212">
        <v>702</v>
      </c>
      <c r="I953" s="212">
        <v>2106</v>
      </c>
      <c r="J953" s="212">
        <v>12753</v>
      </c>
    </row>
    <row r="954" spans="1:10" ht="14.1" customHeight="1" x14ac:dyDescent="0.15">
      <c r="A954" s="221"/>
      <c r="B954" s="221"/>
      <c r="C954" s="221"/>
      <c r="D954" s="210" t="s">
        <v>82</v>
      </c>
      <c r="E954" s="212">
        <v>243</v>
      </c>
      <c r="F954" s="212">
        <v>3112</v>
      </c>
      <c r="G954" s="212">
        <v>756216</v>
      </c>
      <c r="H954" s="212">
        <v>702</v>
      </c>
      <c r="I954" s="212">
        <v>170586</v>
      </c>
      <c r="J954" s="212">
        <v>585630</v>
      </c>
    </row>
    <row r="955" spans="1:10" ht="14.1" customHeight="1" x14ac:dyDescent="0.15">
      <c r="A955" s="221"/>
      <c r="B955" s="221"/>
      <c r="C955" s="221"/>
      <c r="D955" s="210" t="s">
        <v>75</v>
      </c>
      <c r="E955" s="212">
        <v>8</v>
      </c>
      <c r="F955" s="212">
        <v>1907</v>
      </c>
      <c r="G955" s="212">
        <v>15256</v>
      </c>
      <c r="H955" s="212">
        <v>702</v>
      </c>
      <c r="I955" s="212">
        <v>5616</v>
      </c>
      <c r="J955" s="212">
        <v>9640</v>
      </c>
    </row>
    <row r="956" spans="1:10" ht="14.1" customHeight="1" x14ac:dyDescent="0.15">
      <c r="A956" s="221"/>
      <c r="B956" s="221"/>
      <c r="C956" s="221"/>
      <c r="D956" s="210" t="s">
        <v>69</v>
      </c>
      <c r="E956" s="212">
        <v>59</v>
      </c>
      <c r="F956" s="212">
        <v>24895</v>
      </c>
      <c r="G956" s="212">
        <v>1468805</v>
      </c>
      <c r="H956" s="212">
        <v>702</v>
      </c>
      <c r="I956" s="212">
        <v>41418</v>
      </c>
      <c r="J956" s="212">
        <v>1427387</v>
      </c>
    </row>
    <row r="957" spans="1:10" ht="14.1" customHeight="1" x14ac:dyDescent="0.15">
      <c r="A957" s="221"/>
      <c r="B957" s="221"/>
      <c r="C957" s="221"/>
      <c r="D957" s="210" t="s">
        <v>139</v>
      </c>
      <c r="E957" s="212">
        <v>771</v>
      </c>
      <c r="F957" s="212">
        <v>4799</v>
      </c>
      <c r="G957" s="212">
        <v>3700029</v>
      </c>
      <c r="H957" s="212">
        <v>702</v>
      </c>
      <c r="I957" s="212">
        <v>541242</v>
      </c>
      <c r="J957" s="212">
        <v>3158787</v>
      </c>
    </row>
    <row r="958" spans="1:10" ht="14.1" customHeight="1" x14ac:dyDescent="0.15">
      <c r="A958" s="221"/>
      <c r="B958" s="221"/>
      <c r="C958" s="221"/>
      <c r="D958" s="210" t="s">
        <v>140</v>
      </c>
      <c r="E958" s="212">
        <v>549</v>
      </c>
      <c r="F958" s="212">
        <v>5805</v>
      </c>
      <c r="G958" s="212">
        <v>3186945</v>
      </c>
      <c r="H958" s="212">
        <v>702</v>
      </c>
      <c r="I958" s="212">
        <v>385398</v>
      </c>
      <c r="J958" s="212">
        <v>2801547</v>
      </c>
    </row>
    <row r="959" spans="1:10" ht="14.1" customHeight="1" x14ac:dyDescent="0.15">
      <c r="A959" s="221"/>
      <c r="B959" s="220" t="s">
        <v>168</v>
      </c>
      <c r="C959" s="223" t="s">
        <v>67</v>
      </c>
      <c r="D959" s="210" t="s">
        <v>144</v>
      </c>
      <c r="E959" s="212">
        <v>9</v>
      </c>
      <c r="F959" s="212">
        <v>44986</v>
      </c>
      <c r="G959" s="212">
        <v>404874</v>
      </c>
      <c r="H959" s="212">
        <v>925</v>
      </c>
      <c r="I959" s="212">
        <v>8325</v>
      </c>
      <c r="J959" s="212">
        <v>396549</v>
      </c>
    </row>
    <row r="960" spans="1:10" ht="14.1" customHeight="1" x14ac:dyDescent="0.15">
      <c r="A960" s="221"/>
      <c r="B960" s="221"/>
      <c r="C960" s="221"/>
      <c r="D960" s="210" t="s">
        <v>145</v>
      </c>
      <c r="E960" s="212">
        <v>36</v>
      </c>
      <c r="F960" s="212">
        <v>26911</v>
      </c>
      <c r="G960" s="212">
        <v>968796</v>
      </c>
      <c r="H960" s="212">
        <v>925</v>
      </c>
      <c r="I960" s="212">
        <v>33300</v>
      </c>
      <c r="J960" s="212">
        <v>935496</v>
      </c>
    </row>
    <row r="961" spans="1:10" ht="14.1" customHeight="1" x14ac:dyDescent="0.15">
      <c r="A961" s="221"/>
      <c r="B961" s="221"/>
      <c r="C961" s="221"/>
      <c r="D961" s="210" t="s">
        <v>85</v>
      </c>
      <c r="E961" s="212">
        <v>26</v>
      </c>
      <c r="F961" s="212">
        <v>26911</v>
      </c>
      <c r="G961" s="212">
        <v>699686</v>
      </c>
      <c r="H961" s="212">
        <v>925</v>
      </c>
      <c r="I961" s="212">
        <v>24050</v>
      </c>
      <c r="J961" s="212">
        <v>675636</v>
      </c>
    </row>
    <row r="962" spans="1:10" ht="14.1" customHeight="1" x14ac:dyDescent="0.15">
      <c r="A962" s="221"/>
      <c r="B962" s="221"/>
      <c r="C962" s="221"/>
      <c r="D962" s="210" t="s">
        <v>141</v>
      </c>
      <c r="E962" s="212">
        <v>12</v>
      </c>
      <c r="F962" s="212">
        <v>13127</v>
      </c>
      <c r="G962" s="212">
        <v>157524</v>
      </c>
      <c r="H962" s="212">
        <v>925</v>
      </c>
      <c r="I962" s="212">
        <v>11100</v>
      </c>
      <c r="J962" s="212">
        <v>146424</v>
      </c>
    </row>
    <row r="963" spans="1:10" ht="14.1" customHeight="1" x14ac:dyDescent="0.15">
      <c r="A963" s="221"/>
      <c r="B963" s="221"/>
      <c r="C963" s="221"/>
      <c r="D963" s="210" t="s">
        <v>78</v>
      </c>
      <c r="E963" s="212">
        <v>5</v>
      </c>
      <c r="F963" s="212">
        <v>13127</v>
      </c>
      <c r="G963" s="212">
        <v>65635</v>
      </c>
      <c r="H963" s="212">
        <v>925</v>
      </c>
      <c r="I963" s="212">
        <v>4625</v>
      </c>
      <c r="J963" s="212">
        <v>61010</v>
      </c>
    </row>
    <row r="964" spans="1:10" ht="14.1" customHeight="1" x14ac:dyDescent="0.15">
      <c r="A964" s="221"/>
      <c r="B964" s="221"/>
      <c r="C964" s="221"/>
      <c r="D964" s="210" t="s">
        <v>146</v>
      </c>
      <c r="E964" s="212">
        <v>43</v>
      </c>
      <c r="F964" s="212">
        <v>10040</v>
      </c>
      <c r="G964" s="212">
        <v>431720</v>
      </c>
      <c r="H964" s="212">
        <v>925</v>
      </c>
      <c r="I964" s="212">
        <v>39775</v>
      </c>
      <c r="J964" s="212">
        <v>391945</v>
      </c>
    </row>
    <row r="965" spans="1:10" ht="14.1" customHeight="1" x14ac:dyDescent="0.15">
      <c r="A965" s="221"/>
      <c r="B965" s="221"/>
      <c r="C965" s="221"/>
      <c r="D965" s="210" t="s">
        <v>83</v>
      </c>
      <c r="E965" s="212">
        <v>3</v>
      </c>
      <c r="F965" s="212">
        <v>10040</v>
      </c>
      <c r="G965" s="212">
        <v>30120</v>
      </c>
      <c r="H965" s="212">
        <v>925</v>
      </c>
      <c r="I965" s="212">
        <v>2775</v>
      </c>
      <c r="J965" s="212">
        <v>27345</v>
      </c>
    </row>
    <row r="966" spans="1:10" ht="14.1" customHeight="1" x14ac:dyDescent="0.15">
      <c r="A966" s="221"/>
      <c r="B966" s="221"/>
      <c r="C966" s="221"/>
      <c r="D966" s="210" t="s">
        <v>136</v>
      </c>
      <c r="E966" s="212">
        <v>48</v>
      </c>
      <c r="F966" s="212">
        <v>6828</v>
      </c>
      <c r="G966" s="212">
        <v>327744</v>
      </c>
      <c r="H966" s="212">
        <v>925</v>
      </c>
      <c r="I966" s="212">
        <v>44400</v>
      </c>
      <c r="J966" s="212">
        <v>283344</v>
      </c>
    </row>
    <row r="967" spans="1:10" ht="14.1" customHeight="1" x14ac:dyDescent="0.15">
      <c r="A967" s="221"/>
      <c r="B967" s="221"/>
      <c r="C967" s="221"/>
      <c r="D967" s="210" t="s">
        <v>77</v>
      </c>
      <c r="E967" s="212">
        <v>134</v>
      </c>
      <c r="F967" s="212">
        <v>6828</v>
      </c>
      <c r="G967" s="212">
        <v>914952</v>
      </c>
      <c r="H967" s="212">
        <v>925</v>
      </c>
      <c r="I967" s="212">
        <v>123950</v>
      </c>
      <c r="J967" s="212">
        <v>791002</v>
      </c>
    </row>
    <row r="968" spans="1:10" ht="14.1" customHeight="1" x14ac:dyDescent="0.15">
      <c r="A968" s="221"/>
      <c r="B968" s="221"/>
      <c r="C968" s="221"/>
      <c r="D968" s="210" t="s">
        <v>149</v>
      </c>
      <c r="E968" s="212">
        <v>2</v>
      </c>
      <c r="F968" s="212">
        <v>4251</v>
      </c>
      <c r="G968" s="212">
        <v>8502</v>
      </c>
      <c r="H968" s="212">
        <v>925</v>
      </c>
      <c r="I968" s="212">
        <v>1850</v>
      </c>
      <c r="J968" s="212">
        <v>6652</v>
      </c>
    </row>
    <row r="969" spans="1:10" ht="14.1" customHeight="1" x14ac:dyDescent="0.15">
      <c r="A969" s="221"/>
      <c r="B969" s="221"/>
      <c r="C969" s="221"/>
      <c r="D969" s="210" t="s">
        <v>86</v>
      </c>
      <c r="E969" s="212">
        <v>6</v>
      </c>
      <c r="F969" s="212">
        <v>4251</v>
      </c>
      <c r="G969" s="212">
        <v>25506</v>
      </c>
      <c r="H969" s="212">
        <v>925</v>
      </c>
      <c r="I969" s="212">
        <v>5550</v>
      </c>
      <c r="J969" s="212">
        <v>19956</v>
      </c>
    </row>
    <row r="970" spans="1:10" ht="14.1" customHeight="1" x14ac:dyDescent="0.15">
      <c r="A970" s="221"/>
      <c r="B970" s="221"/>
      <c r="C970" s="221"/>
      <c r="D970" s="210" t="s">
        <v>84</v>
      </c>
      <c r="E970" s="212">
        <v>14</v>
      </c>
      <c r="F970" s="212">
        <v>2410</v>
      </c>
      <c r="G970" s="212">
        <v>33740</v>
      </c>
      <c r="H970" s="212">
        <v>925</v>
      </c>
      <c r="I970" s="212">
        <v>12950</v>
      </c>
      <c r="J970" s="212">
        <v>20790</v>
      </c>
    </row>
    <row r="971" spans="1:10" ht="14.1" customHeight="1" x14ac:dyDescent="0.15">
      <c r="A971" s="221"/>
      <c r="B971" s="221"/>
      <c r="C971" s="221"/>
      <c r="D971" s="210" t="s">
        <v>89</v>
      </c>
      <c r="E971" s="212">
        <v>2</v>
      </c>
      <c r="F971" s="212">
        <v>1205</v>
      </c>
      <c r="G971" s="212">
        <v>2410</v>
      </c>
      <c r="H971" s="212">
        <v>925</v>
      </c>
      <c r="I971" s="212">
        <v>1850</v>
      </c>
      <c r="J971" s="212">
        <v>560</v>
      </c>
    </row>
    <row r="972" spans="1:10" ht="29.1" customHeight="1" x14ac:dyDescent="0.15">
      <c r="A972" s="221"/>
      <c r="B972" s="221"/>
      <c r="C972" s="222" t="s">
        <v>159</v>
      </c>
      <c r="D972" s="210" t="s">
        <v>79</v>
      </c>
      <c r="E972" s="212">
        <v>11</v>
      </c>
      <c r="F972" s="212">
        <v>28332</v>
      </c>
      <c r="G972" s="212">
        <v>311652</v>
      </c>
      <c r="H972" s="212">
        <v>2346</v>
      </c>
      <c r="I972" s="212">
        <v>25806</v>
      </c>
      <c r="J972" s="212">
        <v>285846</v>
      </c>
    </row>
    <row r="973" spans="1:10" ht="14.1" customHeight="1" x14ac:dyDescent="0.15">
      <c r="A973" s="221"/>
      <c r="B973" s="221"/>
      <c r="C973" s="221"/>
      <c r="D973" s="210" t="s">
        <v>73</v>
      </c>
      <c r="E973" s="212">
        <v>2</v>
      </c>
      <c r="F973" s="212">
        <v>14548</v>
      </c>
      <c r="G973" s="212">
        <v>29096</v>
      </c>
      <c r="H973" s="212">
        <v>2346</v>
      </c>
      <c r="I973" s="212">
        <v>4692</v>
      </c>
      <c r="J973" s="212">
        <v>24404</v>
      </c>
    </row>
    <row r="974" spans="1:10" ht="14.1" customHeight="1" x14ac:dyDescent="0.15">
      <c r="A974" s="221"/>
      <c r="B974" s="221"/>
      <c r="C974" s="221"/>
      <c r="D974" s="210" t="s">
        <v>74</v>
      </c>
      <c r="E974" s="212">
        <v>2</v>
      </c>
      <c r="F974" s="212">
        <v>11461</v>
      </c>
      <c r="G974" s="212">
        <v>22922</v>
      </c>
      <c r="H974" s="212">
        <v>2346</v>
      </c>
      <c r="I974" s="212">
        <v>4692</v>
      </c>
      <c r="J974" s="212">
        <v>18230</v>
      </c>
    </row>
    <row r="975" spans="1:10" ht="14.1" customHeight="1" x14ac:dyDescent="0.15">
      <c r="A975" s="221"/>
      <c r="B975" s="221"/>
      <c r="C975" s="221"/>
      <c r="D975" s="210" t="s">
        <v>71</v>
      </c>
      <c r="E975" s="212">
        <v>139</v>
      </c>
      <c r="F975" s="212">
        <v>8249</v>
      </c>
      <c r="G975" s="212">
        <v>1146611</v>
      </c>
      <c r="H975" s="212">
        <v>2346</v>
      </c>
      <c r="I975" s="212">
        <v>326094</v>
      </c>
      <c r="J975" s="212">
        <v>820517</v>
      </c>
    </row>
    <row r="976" spans="1:10" ht="29.1" customHeight="1" x14ac:dyDescent="0.15">
      <c r="A976" s="221"/>
      <c r="B976" s="221"/>
      <c r="C976" s="222" t="s">
        <v>161</v>
      </c>
      <c r="D976" s="210" t="s">
        <v>88</v>
      </c>
      <c r="E976" s="212">
        <v>5</v>
      </c>
      <c r="F976" s="212">
        <v>61914</v>
      </c>
      <c r="G976" s="212">
        <v>309570</v>
      </c>
      <c r="H976" s="212">
        <v>1627</v>
      </c>
      <c r="I976" s="212">
        <v>8135</v>
      </c>
      <c r="J976" s="212">
        <v>301435</v>
      </c>
    </row>
    <row r="977" spans="1:10" ht="14.1" customHeight="1" x14ac:dyDescent="0.15">
      <c r="A977" s="221"/>
      <c r="B977" s="221"/>
      <c r="C977" s="221"/>
      <c r="D977" s="210" t="s">
        <v>101</v>
      </c>
      <c r="E977" s="212">
        <v>534</v>
      </c>
      <c r="F977" s="212">
        <v>45688</v>
      </c>
      <c r="G977" s="212">
        <v>24397392</v>
      </c>
      <c r="H977" s="212">
        <v>1627</v>
      </c>
      <c r="I977" s="212">
        <v>868818</v>
      </c>
      <c r="J977" s="212">
        <v>23528574</v>
      </c>
    </row>
    <row r="978" spans="1:10" ht="14.1" customHeight="1" x14ac:dyDescent="0.15">
      <c r="A978" s="221"/>
      <c r="B978" s="221"/>
      <c r="C978" s="221"/>
      <c r="D978" s="210" t="s">
        <v>79</v>
      </c>
      <c r="E978" s="212">
        <v>2477</v>
      </c>
      <c r="F978" s="212">
        <v>27613</v>
      </c>
      <c r="G978" s="212">
        <v>68397401</v>
      </c>
      <c r="H978" s="212">
        <v>1627</v>
      </c>
      <c r="I978" s="212">
        <v>4030079</v>
      </c>
      <c r="J978" s="212">
        <v>64367322</v>
      </c>
    </row>
    <row r="979" spans="1:10" ht="14.1" customHeight="1" x14ac:dyDescent="0.15">
      <c r="A979" s="221"/>
      <c r="B979" s="221"/>
      <c r="C979" s="221"/>
      <c r="D979" s="210" t="s">
        <v>73</v>
      </c>
      <c r="E979" s="212">
        <v>1902</v>
      </c>
      <c r="F979" s="212">
        <v>13829</v>
      </c>
      <c r="G979" s="212">
        <v>26302758</v>
      </c>
      <c r="H979" s="212">
        <v>1627</v>
      </c>
      <c r="I979" s="212">
        <v>3094554</v>
      </c>
      <c r="J979" s="212">
        <v>23208204</v>
      </c>
    </row>
    <row r="980" spans="1:10" ht="14.1" customHeight="1" x14ac:dyDescent="0.15">
      <c r="A980" s="221"/>
      <c r="B980" s="221"/>
      <c r="C980" s="221"/>
      <c r="D980" s="210" t="s">
        <v>74</v>
      </c>
      <c r="E980" s="212">
        <v>4133</v>
      </c>
      <c r="F980" s="212">
        <v>10742</v>
      </c>
      <c r="G980" s="212">
        <v>44396686</v>
      </c>
      <c r="H980" s="212">
        <v>1627</v>
      </c>
      <c r="I980" s="212">
        <v>6724391</v>
      </c>
      <c r="J980" s="212">
        <v>37672295</v>
      </c>
    </row>
    <row r="981" spans="1:10" ht="14.1" customHeight="1" x14ac:dyDescent="0.15">
      <c r="A981" s="221"/>
      <c r="B981" s="221"/>
      <c r="C981" s="221"/>
      <c r="D981" s="210" t="s">
        <v>71</v>
      </c>
      <c r="E981" s="212">
        <v>5420</v>
      </c>
      <c r="F981" s="212">
        <v>7530</v>
      </c>
      <c r="G981" s="212">
        <v>40812600</v>
      </c>
      <c r="H981" s="212">
        <v>1627</v>
      </c>
      <c r="I981" s="212">
        <v>8818340</v>
      </c>
      <c r="J981" s="212">
        <v>31994260</v>
      </c>
    </row>
    <row r="982" spans="1:10" ht="14.1" customHeight="1" x14ac:dyDescent="0.15">
      <c r="A982" s="221"/>
      <c r="B982" s="221"/>
      <c r="C982" s="221"/>
      <c r="D982" s="210" t="s">
        <v>72</v>
      </c>
      <c r="E982" s="212">
        <v>126</v>
      </c>
      <c r="F982" s="212">
        <v>4953</v>
      </c>
      <c r="G982" s="212">
        <v>624078</v>
      </c>
      <c r="H982" s="212">
        <v>1627</v>
      </c>
      <c r="I982" s="212">
        <v>205002</v>
      </c>
      <c r="J982" s="212">
        <v>419076</v>
      </c>
    </row>
    <row r="983" spans="1:10" ht="14.1" customHeight="1" x14ac:dyDescent="0.15">
      <c r="A983" s="221"/>
      <c r="B983" s="221"/>
      <c r="C983" s="221"/>
      <c r="D983" s="210" t="s">
        <v>82</v>
      </c>
      <c r="E983" s="212">
        <v>239</v>
      </c>
      <c r="F983" s="212">
        <v>3112</v>
      </c>
      <c r="G983" s="212">
        <v>743768</v>
      </c>
      <c r="H983" s="212">
        <v>1627</v>
      </c>
      <c r="I983" s="212">
        <v>388853</v>
      </c>
      <c r="J983" s="212">
        <v>354915</v>
      </c>
    </row>
    <row r="984" spans="1:10" ht="14.1" customHeight="1" x14ac:dyDescent="0.15">
      <c r="A984" s="221"/>
      <c r="B984" s="221"/>
      <c r="C984" s="221"/>
      <c r="D984" s="210" t="s">
        <v>75</v>
      </c>
      <c r="E984" s="212">
        <v>65</v>
      </c>
      <c r="F984" s="212">
        <v>1907</v>
      </c>
      <c r="G984" s="212">
        <v>123955</v>
      </c>
      <c r="H984" s="212">
        <v>1627</v>
      </c>
      <c r="I984" s="212">
        <v>105755</v>
      </c>
      <c r="J984" s="212">
        <v>18200</v>
      </c>
    </row>
    <row r="985" spans="1:10" ht="29.1" customHeight="1" x14ac:dyDescent="0.15">
      <c r="A985" s="222" t="s">
        <v>118</v>
      </c>
      <c r="B985" s="221" t="s">
        <v>53</v>
      </c>
      <c r="C985" s="221"/>
      <c r="D985" s="221"/>
      <c r="E985" s="212">
        <v>1510</v>
      </c>
      <c r="F985" s="212">
        <v>308425</v>
      </c>
      <c r="G985" s="212">
        <v>20169938</v>
      </c>
      <c r="H985" s="212"/>
      <c r="I985" s="212">
        <v>1479382</v>
      </c>
      <c r="J985" s="212">
        <v>18690556</v>
      </c>
    </row>
    <row r="986" spans="1:10" ht="14.1" customHeight="1" x14ac:dyDescent="0.15">
      <c r="A986" s="221"/>
      <c r="B986" s="210" t="s">
        <v>63</v>
      </c>
      <c r="C986" s="210" t="s">
        <v>64</v>
      </c>
      <c r="D986" s="210" t="s">
        <v>65</v>
      </c>
      <c r="E986" s="218">
        <v>8</v>
      </c>
      <c r="F986" s="218">
        <v>10841</v>
      </c>
      <c r="G986" s="218">
        <v>86728</v>
      </c>
      <c r="H986" s="218">
        <v>1627</v>
      </c>
      <c r="I986" s="218">
        <v>13016</v>
      </c>
      <c r="J986" s="218">
        <v>73712</v>
      </c>
    </row>
    <row r="987" spans="1:10" ht="29.1" customHeight="1" x14ac:dyDescent="0.15">
      <c r="A987" s="221"/>
      <c r="B987" s="213" t="s">
        <v>66</v>
      </c>
      <c r="C987" s="209" t="s">
        <v>161</v>
      </c>
      <c r="D987" s="210" t="s">
        <v>133</v>
      </c>
      <c r="E987" s="219"/>
      <c r="F987" s="219"/>
      <c r="G987" s="219"/>
      <c r="H987" s="219"/>
      <c r="I987" s="219"/>
      <c r="J987" s="219"/>
    </row>
    <row r="988" spans="1:10" ht="42.95" customHeight="1" x14ac:dyDescent="0.15">
      <c r="A988" s="221"/>
      <c r="B988" s="222" t="s">
        <v>215</v>
      </c>
      <c r="C988" s="223" t="s">
        <v>67</v>
      </c>
      <c r="D988" s="210" t="s">
        <v>145</v>
      </c>
      <c r="E988" s="212">
        <v>1</v>
      </c>
      <c r="F988" s="212">
        <v>26911</v>
      </c>
      <c r="G988" s="212">
        <v>26911</v>
      </c>
      <c r="H988" s="212">
        <v>0</v>
      </c>
      <c r="I988" s="212">
        <v>0</v>
      </c>
      <c r="J988" s="212">
        <v>26911</v>
      </c>
    </row>
    <row r="989" spans="1:10" ht="14.1" customHeight="1" x14ac:dyDescent="0.15">
      <c r="A989" s="221"/>
      <c r="B989" s="221"/>
      <c r="C989" s="221"/>
      <c r="D989" s="210" t="s">
        <v>141</v>
      </c>
      <c r="E989" s="212">
        <v>1</v>
      </c>
      <c r="F989" s="212">
        <v>13127</v>
      </c>
      <c r="G989" s="212">
        <v>13127</v>
      </c>
      <c r="H989" s="212">
        <v>0</v>
      </c>
      <c r="I989" s="212">
        <v>0</v>
      </c>
      <c r="J989" s="212">
        <v>13127</v>
      </c>
    </row>
    <row r="990" spans="1:10" ht="14.1" customHeight="1" x14ac:dyDescent="0.15">
      <c r="A990" s="221"/>
      <c r="B990" s="221"/>
      <c r="C990" s="221"/>
      <c r="D990" s="210" t="s">
        <v>78</v>
      </c>
      <c r="E990" s="212">
        <v>16</v>
      </c>
      <c r="F990" s="212">
        <v>13127</v>
      </c>
      <c r="G990" s="212">
        <v>210032</v>
      </c>
      <c r="H990" s="212">
        <v>0</v>
      </c>
      <c r="I990" s="212">
        <v>0</v>
      </c>
      <c r="J990" s="212">
        <v>210032</v>
      </c>
    </row>
    <row r="991" spans="1:10" ht="14.1" customHeight="1" x14ac:dyDescent="0.15">
      <c r="A991" s="221"/>
      <c r="B991" s="221"/>
      <c r="C991" s="221"/>
      <c r="D991" s="210" t="s">
        <v>136</v>
      </c>
      <c r="E991" s="212">
        <v>1</v>
      </c>
      <c r="F991" s="212">
        <v>6828</v>
      </c>
      <c r="G991" s="212">
        <v>6828</v>
      </c>
      <c r="H991" s="212">
        <v>0</v>
      </c>
      <c r="I991" s="212">
        <v>0</v>
      </c>
      <c r="J991" s="212">
        <v>6828</v>
      </c>
    </row>
    <row r="992" spans="1:10" ht="14.1" customHeight="1" x14ac:dyDescent="0.15">
      <c r="A992" s="221"/>
      <c r="B992" s="221"/>
      <c r="C992" s="221"/>
      <c r="D992" s="210" t="s">
        <v>77</v>
      </c>
      <c r="E992" s="212">
        <v>2</v>
      </c>
      <c r="F992" s="212">
        <v>6828</v>
      </c>
      <c r="G992" s="212">
        <v>13656</v>
      </c>
      <c r="H992" s="212">
        <v>0</v>
      </c>
      <c r="I992" s="212">
        <v>0</v>
      </c>
      <c r="J992" s="212">
        <v>13656</v>
      </c>
    </row>
    <row r="993" spans="1:10" ht="29.1" customHeight="1" x14ac:dyDescent="0.15">
      <c r="A993" s="221"/>
      <c r="B993" s="221"/>
      <c r="C993" s="222" t="s">
        <v>159</v>
      </c>
      <c r="D993" s="210" t="s">
        <v>79</v>
      </c>
      <c r="E993" s="212">
        <v>22</v>
      </c>
      <c r="F993" s="212">
        <v>28332</v>
      </c>
      <c r="G993" s="212">
        <v>623304</v>
      </c>
      <c r="H993" s="212">
        <v>1421</v>
      </c>
      <c r="I993" s="212">
        <v>31262</v>
      </c>
      <c r="J993" s="212">
        <v>592042</v>
      </c>
    </row>
    <row r="994" spans="1:10" ht="14.1" customHeight="1" x14ac:dyDescent="0.15">
      <c r="A994" s="221"/>
      <c r="B994" s="221"/>
      <c r="C994" s="221"/>
      <c r="D994" s="210" t="s">
        <v>71</v>
      </c>
      <c r="E994" s="212">
        <v>2</v>
      </c>
      <c r="F994" s="212">
        <v>8249</v>
      </c>
      <c r="G994" s="212">
        <v>16498</v>
      </c>
      <c r="H994" s="212">
        <v>1421</v>
      </c>
      <c r="I994" s="212">
        <v>2842</v>
      </c>
      <c r="J994" s="212">
        <v>13656</v>
      </c>
    </row>
    <row r="995" spans="1:10" ht="14.1" customHeight="1" x14ac:dyDescent="0.15">
      <c r="A995" s="221"/>
      <c r="B995" s="221"/>
      <c r="C995" s="221"/>
      <c r="D995" s="210" t="s">
        <v>69</v>
      </c>
      <c r="E995" s="212">
        <v>1</v>
      </c>
      <c r="F995" s="212">
        <v>25614</v>
      </c>
      <c r="G995" s="212">
        <v>25614</v>
      </c>
      <c r="H995" s="212">
        <v>1421</v>
      </c>
      <c r="I995" s="212">
        <v>1421</v>
      </c>
      <c r="J995" s="212">
        <v>24193</v>
      </c>
    </row>
    <row r="996" spans="1:10" ht="29.1" customHeight="1" x14ac:dyDescent="0.15">
      <c r="A996" s="221"/>
      <c r="B996" s="221"/>
      <c r="C996" s="222" t="s">
        <v>161</v>
      </c>
      <c r="D996" s="210" t="s">
        <v>79</v>
      </c>
      <c r="E996" s="212">
        <v>96</v>
      </c>
      <c r="F996" s="212">
        <v>27613</v>
      </c>
      <c r="G996" s="212">
        <v>2650848</v>
      </c>
      <c r="H996" s="212">
        <v>702</v>
      </c>
      <c r="I996" s="212">
        <v>67392</v>
      </c>
      <c r="J996" s="212">
        <v>2583456</v>
      </c>
    </row>
    <row r="997" spans="1:10" ht="14.1" customHeight="1" x14ac:dyDescent="0.15">
      <c r="A997" s="221"/>
      <c r="B997" s="221"/>
      <c r="C997" s="221"/>
      <c r="D997" s="210" t="s">
        <v>73</v>
      </c>
      <c r="E997" s="212">
        <v>718</v>
      </c>
      <c r="F997" s="212">
        <v>13829</v>
      </c>
      <c r="G997" s="212">
        <v>9929222</v>
      </c>
      <c r="H997" s="212">
        <v>702</v>
      </c>
      <c r="I997" s="212">
        <v>504036</v>
      </c>
      <c r="J997" s="212">
        <v>9425186</v>
      </c>
    </row>
    <row r="998" spans="1:10" ht="14.1" customHeight="1" x14ac:dyDescent="0.15">
      <c r="A998" s="221"/>
      <c r="B998" s="221"/>
      <c r="C998" s="221"/>
      <c r="D998" s="210" t="s">
        <v>74</v>
      </c>
      <c r="E998" s="212">
        <v>7</v>
      </c>
      <c r="F998" s="212">
        <v>10742</v>
      </c>
      <c r="G998" s="212">
        <v>75194</v>
      </c>
      <c r="H998" s="212">
        <v>702</v>
      </c>
      <c r="I998" s="212">
        <v>4914</v>
      </c>
      <c r="J998" s="212">
        <v>70280</v>
      </c>
    </row>
    <row r="999" spans="1:10" ht="14.1" customHeight="1" x14ac:dyDescent="0.15">
      <c r="A999" s="221"/>
      <c r="B999" s="221"/>
      <c r="C999" s="221"/>
      <c r="D999" s="210" t="s">
        <v>71</v>
      </c>
      <c r="E999" s="212">
        <v>158</v>
      </c>
      <c r="F999" s="212">
        <v>7530</v>
      </c>
      <c r="G999" s="212">
        <v>1189740</v>
      </c>
      <c r="H999" s="212">
        <v>702</v>
      </c>
      <c r="I999" s="212">
        <v>110916</v>
      </c>
      <c r="J999" s="212">
        <v>1078824</v>
      </c>
    </row>
    <row r="1000" spans="1:10" ht="14.1" customHeight="1" x14ac:dyDescent="0.15">
      <c r="A1000" s="221"/>
      <c r="B1000" s="221"/>
      <c r="C1000" s="221"/>
      <c r="D1000" s="210" t="s">
        <v>69</v>
      </c>
      <c r="E1000" s="212">
        <v>36</v>
      </c>
      <c r="F1000" s="212">
        <v>24895</v>
      </c>
      <c r="G1000" s="212">
        <v>896220</v>
      </c>
      <c r="H1000" s="212">
        <v>702</v>
      </c>
      <c r="I1000" s="212">
        <v>25272</v>
      </c>
      <c r="J1000" s="212">
        <v>870948</v>
      </c>
    </row>
    <row r="1001" spans="1:10" ht="14.1" customHeight="1" x14ac:dyDescent="0.15">
      <c r="A1001" s="221"/>
      <c r="B1001" s="220" t="s">
        <v>168</v>
      </c>
      <c r="C1001" s="223" t="s">
        <v>67</v>
      </c>
      <c r="D1001" s="210" t="s">
        <v>145</v>
      </c>
      <c r="E1001" s="212">
        <v>1</v>
      </c>
      <c r="F1001" s="212">
        <v>26911</v>
      </c>
      <c r="G1001" s="212">
        <v>26911</v>
      </c>
      <c r="H1001" s="212">
        <v>925</v>
      </c>
      <c r="I1001" s="212">
        <v>925</v>
      </c>
      <c r="J1001" s="212">
        <v>25986</v>
      </c>
    </row>
    <row r="1002" spans="1:10" ht="14.1" customHeight="1" x14ac:dyDescent="0.15">
      <c r="A1002" s="221"/>
      <c r="B1002" s="221"/>
      <c r="C1002" s="221"/>
      <c r="D1002" s="210" t="s">
        <v>136</v>
      </c>
      <c r="E1002" s="212">
        <v>2</v>
      </c>
      <c r="F1002" s="212">
        <v>6828</v>
      </c>
      <c r="G1002" s="212">
        <v>13656</v>
      </c>
      <c r="H1002" s="212">
        <v>925</v>
      </c>
      <c r="I1002" s="212">
        <v>1850</v>
      </c>
      <c r="J1002" s="212">
        <v>11806</v>
      </c>
    </row>
    <row r="1003" spans="1:10" ht="14.1" customHeight="1" x14ac:dyDescent="0.15">
      <c r="A1003" s="221"/>
      <c r="B1003" s="221"/>
      <c r="C1003" s="221"/>
      <c r="D1003" s="210" t="s">
        <v>77</v>
      </c>
      <c r="E1003" s="212">
        <v>2</v>
      </c>
      <c r="F1003" s="212">
        <v>6828</v>
      </c>
      <c r="G1003" s="212">
        <v>13656</v>
      </c>
      <c r="H1003" s="212">
        <v>925</v>
      </c>
      <c r="I1003" s="212">
        <v>1850</v>
      </c>
      <c r="J1003" s="212">
        <v>11806</v>
      </c>
    </row>
    <row r="1004" spans="1:10" ht="29.1" customHeight="1" x14ac:dyDescent="0.15">
      <c r="A1004" s="221"/>
      <c r="B1004" s="221"/>
      <c r="C1004" s="209" t="s">
        <v>159</v>
      </c>
      <c r="D1004" s="210" t="s">
        <v>71</v>
      </c>
      <c r="E1004" s="212">
        <v>6</v>
      </c>
      <c r="F1004" s="212">
        <v>8249</v>
      </c>
      <c r="G1004" s="212">
        <v>49494</v>
      </c>
      <c r="H1004" s="212">
        <v>2346</v>
      </c>
      <c r="I1004" s="212">
        <v>14076</v>
      </c>
      <c r="J1004" s="212">
        <v>35418</v>
      </c>
    </row>
    <row r="1005" spans="1:10" ht="29.1" customHeight="1" x14ac:dyDescent="0.15">
      <c r="A1005" s="221"/>
      <c r="B1005" s="221"/>
      <c r="C1005" s="222" t="s">
        <v>161</v>
      </c>
      <c r="D1005" s="210" t="s">
        <v>79</v>
      </c>
      <c r="E1005" s="212">
        <v>53</v>
      </c>
      <c r="F1005" s="212">
        <v>27613</v>
      </c>
      <c r="G1005" s="212">
        <v>1463489</v>
      </c>
      <c r="H1005" s="212">
        <v>1627</v>
      </c>
      <c r="I1005" s="212">
        <v>86231</v>
      </c>
      <c r="J1005" s="212">
        <v>1377258</v>
      </c>
    </row>
    <row r="1006" spans="1:10" ht="14.1" customHeight="1" x14ac:dyDescent="0.15">
      <c r="A1006" s="221"/>
      <c r="B1006" s="221"/>
      <c r="C1006" s="221"/>
      <c r="D1006" s="210" t="s">
        <v>71</v>
      </c>
      <c r="E1006" s="212">
        <v>377</v>
      </c>
      <c r="F1006" s="212">
        <v>7530</v>
      </c>
      <c r="G1006" s="212">
        <v>2838810</v>
      </c>
      <c r="H1006" s="212">
        <v>1627</v>
      </c>
      <c r="I1006" s="212">
        <v>613379</v>
      </c>
      <c r="J1006" s="212">
        <v>2225431</v>
      </c>
    </row>
    <row r="1007" spans="1:10" ht="29.1" customHeight="1" x14ac:dyDescent="0.15">
      <c r="A1007" s="222" t="s">
        <v>119</v>
      </c>
      <c r="B1007" s="221" t="s">
        <v>53</v>
      </c>
      <c r="C1007" s="221"/>
      <c r="D1007" s="221"/>
      <c r="E1007" s="212">
        <v>48374</v>
      </c>
      <c r="F1007" s="212">
        <v>1050404</v>
      </c>
      <c r="G1007" s="212">
        <v>552068911</v>
      </c>
      <c r="H1007" s="212"/>
      <c r="I1007" s="212">
        <v>58758445</v>
      </c>
      <c r="J1007" s="212">
        <v>493310466</v>
      </c>
    </row>
    <row r="1008" spans="1:10" ht="14.1" customHeight="1" x14ac:dyDescent="0.15">
      <c r="A1008" s="221"/>
      <c r="B1008" s="210" t="s">
        <v>63</v>
      </c>
      <c r="C1008" s="210" t="s">
        <v>64</v>
      </c>
      <c r="D1008" s="210" t="s">
        <v>65</v>
      </c>
      <c r="E1008" s="218">
        <v>17</v>
      </c>
      <c r="F1008" s="218">
        <v>10139</v>
      </c>
      <c r="G1008" s="218">
        <v>172363</v>
      </c>
      <c r="H1008" s="218">
        <v>0</v>
      </c>
      <c r="I1008" s="218">
        <v>0</v>
      </c>
      <c r="J1008" s="218">
        <v>172363</v>
      </c>
    </row>
    <row r="1009" spans="1:10" ht="14.1" customHeight="1" x14ac:dyDescent="0.15">
      <c r="A1009" s="221"/>
      <c r="B1009" s="220" t="s">
        <v>66</v>
      </c>
      <c r="C1009" s="223" t="s">
        <v>67</v>
      </c>
      <c r="D1009" s="210" t="s">
        <v>134</v>
      </c>
      <c r="E1009" s="219"/>
      <c r="F1009" s="219"/>
      <c r="G1009" s="219"/>
      <c r="H1009" s="219"/>
      <c r="I1009" s="219"/>
      <c r="J1009" s="219"/>
    </row>
    <row r="1010" spans="1:10" ht="14.1" customHeight="1" x14ac:dyDescent="0.15">
      <c r="A1010" s="221"/>
      <c r="B1010" s="221"/>
      <c r="C1010" s="221"/>
      <c r="D1010" s="210" t="s">
        <v>132</v>
      </c>
      <c r="E1010" s="212">
        <v>58</v>
      </c>
      <c r="F1010" s="212">
        <v>10139</v>
      </c>
      <c r="G1010" s="212">
        <v>588062</v>
      </c>
      <c r="H1010" s="212">
        <v>0</v>
      </c>
      <c r="I1010" s="212">
        <v>0</v>
      </c>
      <c r="J1010" s="212">
        <v>588062</v>
      </c>
    </row>
    <row r="1011" spans="1:10" ht="29.1" customHeight="1" x14ac:dyDescent="0.15">
      <c r="A1011" s="221"/>
      <c r="B1011" s="221"/>
      <c r="C1011" s="209" t="s">
        <v>159</v>
      </c>
      <c r="D1011" s="210" t="s">
        <v>133</v>
      </c>
      <c r="E1011" s="212">
        <v>2</v>
      </c>
      <c r="F1011" s="212">
        <v>11560</v>
      </c>
      <c r="G1011" s="212">
        <v>23120</v>
      </c>
      <c r="H1011" s="212">
        <v>2346</v>
      </c>
      <c r="I1011" s="212">
        <v>4692</v>
      </c>
      <c r="J1011" s="212">
        <v>18428</v>
      </c>
    </row>
    <row r="1012" spans="1:10" ht="29.1" customHeight="1" x14ac:dyDescent="0.15">
      <c r="A1012" s="221"/>
      <c r="B1012" s="221"/>
      <c r="C1012" s="209" t="s">
        <v>161</v>
      </c>
      <c r="D1012" s="210" t="s">
        <v>133</v>
      </c>
      <c r="E1012" s="212">
        <v>3942</v>
      </c>
      <c r="F1012" s="212">
        <v>10841</v>
      </c>
      <c r="G1012" s="212">
        <v>42735222</v>
      </c>
      <c r="H1012" s="212">
        <v>1627</v>
      </c>
      <c r="I1012" s="212">
        <v>6413634</v>
      </c>
      <c r="J1012" s="212">
        <v>36321588</v>
      </c>
    </row>
    <row r="1013" spans="1:10" ht="14.1" customHeight="1" x14ac:dyDescent="0.15">
      <c r="A1013" s="221"/>
      <c r="B1013" s="220" t="s">
        <v>76</v>
      </c>
      <c r="C1013" s="223" t="s">
        <v>67</v>
      </c>
      <c r="D1013" s="210" t="s">
        <v>136</v>
      </c>
      <c r="E1013" s="212">
        <v>3</v>
      </c>
      <c r="F1013" s="212">
        <v>6828</v>
      </c>
      <c r="G1013" s="212">
        <v>20484</v>
      </c>
      <c r="H1013" s="212">
        <v>0</v>
      </c>
      <c r="I1013" s="212">
        <v>0</v>
      </c>
      <c r="J1013" s="212">
        <v>20484</v>
      </c>
    </row>
    <row r="1014" spans="1:10" ht="14.1" customHeight="1" x14ac:dyDescent="0.15">
      <c r="A1014" s="221"/>
      <c r="B1014" s="221"/>
      <c r="C1014" s="221"/>
      <c r="D1014" s="210" t="s">
        <v>77</v>
      </c>
      <c r="E1014" s="212">
        <v>1</v>
      </c>
      <c r="F1014" s="212">
        <v>6828</v>
      </c>
      <c r="G1014" s="212">
        <v>6828</v>
      </c>
      <c r="H1014" s="212">
        <v>0</v>
      </c>
      <c r="I1014" s="212">
        <v>0</v>
      </c>
      <c r="J1014" s="212">
        <v>6828</v>
      </c>
    </row>
    <row r="1015" spans="1:10" ht="14.1" customHeight="1" x14ac:dyDescent="0.15">
      <c r="A1015" s="221"/>
      <c r="B1015" s="221"/>
      <c r="C1015" s="221"/>
      <c r="D1015" s="210" t="s">
        <v>135</v>
      </c>
      <c r="E1015" s="212">
        <v>2</v>
      </c>
      <c r="F1015" s="212">
        <v>6949</v>
      </c>
      <c r="G1015" s="212">
        <v>13898</v>
      </c>
      <c r="H1015" s="212">
        <v>0</v>
      </c>
      <c r="I1015" s="212">
        <v>0</v>
      </c>
      <c r="J1015" s="212">
        <v>13898</v>
      </c>
    </row>
    <row r="1016" spans="1:10" ht="29.1" customHeight="1" x14ac:dyDescent="0.15">
      <c r="A1016" s="221"/>
      <c r="B1016" s="221"/>
      <c r="C1016" s="222" t="s">
        <v>159</v>
      </c>
      <c r="D1016" s="210" t="s">
        <v>71</v>
      </c>
      <c r="E1016" s="212">
        <v>14</v>
      </c>
      <c r="F1016" s="212">
        <v>8249</v>
      </c>
      <c r="G1016" s="212">
        <v>115486</v>
      </c>
      <c r="H1016" s="212">
        <v>1421</v>
      </c>
      <c r="I1016" s="212">
        <v>19894</v>
      </c>
      <c r="J1016" s="212">
        <v>95592</v>
      </c>
    </row>
    <row r="1017" spans="1:10" ht="14.1" customHeight="1" x14ac:dyDescent="0.15">
      <c r="A1017" s="221"/>
      <c r="B1017" s="221"/>
      <c r="C1017" s="221"/>
      <c r="D1017" s="210" t="s">
        <v>91</v>
      </c>
      <c r="E1017" s="212">
        <v>382</v>
      </c>
      <c r="F1017" s="212">
        <v>8370</v>
      </c>
      <c r="G1017" s="212">
        <v>3197340</v>
      </c>
      <c r="H1017" s="212">
        <v>1421</v>
      </c>
      <c r="I1017" s="212">
        <v>542822</v>
      </c>
      <c r="J1017" s="212">
        <v>2654518</v>
      </c>
    </row>
    <row r="1018" spans="1:10" ht="29.1" customHeight="1" x14ac:dyDescent="0.15">
      <c r="A1018" s="221"/>
      <c r="B1018" s="221"/>
      <c r="C1018" s="222" t="s">
        <v>161</v>
      </c>
      <c r="D1018" s="210" t="s">
        <v>158</v>
      </c>
      <c r="E1018" s="212">
        <v>1</v>
      </c>
      <c r="F1018" s="212">
        <v>37944</v>
      </c>
      <c r="G1018" s="212">
        <v>37944</v>
      </c>
      <c r="H1018" s="212">
        <v>30868</v>
      </c>
      <c r="I1018" s="212">
        <v>30868</v>
      </c>
      <c r="J1018" s="212">
        <v>7076</v>
      </c>
    </row>
    <row r="1019" spans="1:10" ht="14.1" customHeight="1" x14ac:dyDescent="0.15">
      <c r="A1019" s="221"/>
      <c r="B1019" s="221"/>
      <c r="C1019" s="221"/>
      <c r="D1019" s="210" t="s">
        <v>87</v>
      </c>
      <c r="E1019" s="212">
        <v>1</v>
      </c>
      <c r="F1019" s="212">
        <v>13362</v>
      </c>
      <c r="G1019" s="212">
        <v>13362</v>
      </c>
      <c r="H1019" s="212">
        <v>6286</v>
      </c>
      <c r="I1019" s="212">
        <v>6286</v>
      </c>
      <c r="J1019" s="212">
        <v>7076</v>
      </c>
    </row>
    <row r="1020" spans="1:10" ht="14.1" customHeight="1" x14ac:dyDescent="0.15">
      <c r="A1020" s="221"/>
      <c r="B1020" s="221"/>
      <c r="C1020" s="221"/>
      <c r="D1020" s="210" t="s">
        <v>71</v>
      </c>
      <c r="E1020" s="212">
        <v>2982</v>
      </c>
      <c r="F1020" s="212">
        <v>7530</v>
      </c>
      <c r="G1020" s="212">
        <v>22454460</v>
      </c>
      <c r="H1020" s="212">
        <v>702</v>
      </c>
      <c r="I1020" s="212">
        <v>2093364</v>
      </c>
      <c r="J1020" s="212">
        <v>20361096</v>
      </c>
    </row>
    <row r="1021" spans="1:10" ht="14.1" customHeight="1" x14ac:dyDescent="0.15">
      <c r="A1021" s="221"/>
      <c r="B1021" s="221"/>
      <c r="C1021" s="221"/>
      <c r="D1021" s="210" t="s">
        <v>91</v>
      </c>
      <c r="E1021" s="212">
        <v>3573</v>
      </c>
      <c r="F1021" s="212">
        <v>7651</v>
      </c>
      <c r="G1021" s="212">
        <v>27337023</v>
      </c>
      <c r="H1021" s="212">
        <v>702</v>
      </c>
      <c r="I1021" s="212">
        <v>2508246</v>
      </c>
      <c r="J1021" s="212">
        <v>24828777</v>
      </c>
    </row>
    <row r="1022" spans="1:10" ht="14.1" customHeight="1" x14ac:dyDescent="0.15">
      <c r="A1022" s="221"/>
      <c r="B1022" s="220" t="s">
        <v>162</v>
      </c>
      <c r="C1022" s="223" t="s">
        <v>108</v>
      </c>
      <c r="D1022" s="210" t="s">
        <v>163</v>
      </c>
      <c r="E1022" s="212">
        <v>51</v>
      </c>
      <c r="F1022" s="212">
        <v>23712</v>
      </c>
      <c r="G1022" s="212">
        <v>1209312</v>
      </c>
      <c r="H1022" s="212">
        <v>3932</v>
      </c>
      <c r="I1022" s="212">
        <v>200532</v>
      </c>
      <c r="J1022" s="212">
        <v>1008780</v>
      </c>
    </row>
    <row r="1023" spans="1:10" ht="14.1" customHeight="1" x14ac:dyDescent="0.15">
      <c r="A1023" s="221"/>
      <c r="B1023" s="221"/>
      <c r="C1023" s="221"/>
      <c r="D1023" s="210" t="s">
        <v>165</v>
      </c>
      <c r="E1023" s="212">
        <v>450</v>
      </c>
      <c r="F1023" s="212">
        <v>20422</v>
      </c>
      <c r="G1023" s="212">
        <v>9189900</v>
      </c>
      <c r="H1023" s="212">
        <v>3932</v>
      </c>
      <c r="I1023" s="212">
        <v>1769400</v>
      </c>
      <c r="J1023" s="212">
        <v>7420500</v>
      </c>
    </row>
    <row r="1024" spans="1:10" ht="42.95" customHeight="1" x14ac:dyDescent="0.15">
      <c r="A1024" s="221"/>
      <c r="B1024" s="222" t="s">
        <v>215</v>
      </c>
      <c r="C1024" s="223" t="s">
        <v>67</v>
      </c>
      <c r="D1024" s="210" t="s">
        <v>145</v>
      </c>
      <c r="E1024" s="212">
        <v>13</v>
      </c>
      <c r="F1024" s="212">
        <v>26911</v>
      </c>
      <c r="G1024" s="212">
        <v>349843</v>
      </c>
      <c r="H1024" s="212">
        <v>0</v>
      </c>
      <c r="I1024" s="212">
        <v>0</v>
      </c>
      <c r="J1024" s="212">
        <v>349843</v>
      </c>
    </row>
    <row r="1025" spans="1:10" ht="14.1" customHeight="1" x14ac:dyDescent="0.15">
      <c r="A1025" s="221"/>
      <c r="B1025" s="221"/>
      <c r="C1025" s="221"/>
      <c r="D1025" s="210" t="s">
        <v>85</v>
      </c>
      <c r="E1025" s="212">
        <v>16</v>
      </c>
      <c r="F1025" s="212">
        <v>26911</v>
      </c>
      <c r="G1025" s="212">
        <v>430576</v>
      </c>
      <c r="H1025" s="212">
        <v>0</v>
      </c>
      <c r="I1025" s="212">
        <v>0</v>
      </c>
      <c r="J1025" s="212">
        <v>430576</v>
      </c>
    </row>
    <row r="1026" spans="1:10" ht="14.1" customHeight="1" x14ac:dyDescent="0.15">
      <c r="A1026" s="221"/>
      <c r="B1026" s="221"/>
      <c r="C1026" s="221"/>
      <c r="D1026" s="210" t="s">
        <v>141</v>
      </c>
      <c r="E1026" s="212">
        <v>21</v>
      </c>
      <c r="F1026" s="212">
        <v>13127</v>
      </c>
      <c r="G1026" s="212">
        <v>275667</v>
      </c>
      <c r="H1026" s="212">
        <v>0</v>
      </c>
      <c r="I1026" s="212">
        <v>0</v>
      </c>
      <c r="J1026" s="212">
        <v>275667</v>
      </c>
    </row>
    <row r="1027" spans="1:10" ht="14.1" customHeight="1" x14ac:dyDescent="0.15">
      <c r="A1027" s="221"/>
      <c r="B1027" s="221"/>
      <c r="C1027" s="221"/>
      <c r="D1027" s="210" t="s">
        <v>78</v>
      </c>
      <c r="E1027" s="212">
        <v>22</v>
      </c>
      <c r="F1027" s="212">
        <v>13127</v>
      </c>
      <c r="G1027" s="212">
        <v>288794</v>
      </c>
      <c r="H1027" s="212">
        <v>0</v>
      </c>
      <c r="I1027" s="212">
        <v>0</v>
      </c>
      <c r="J1027" s="212">
        <v>288794</v>
      </c>
    </row>
    <row r="1028" spans="1:10" ht="14.1" customHeight="1" x14ac:dyDescent="0.15">
      <c r="A1028" s="221"/>
      <c r="B1028" s="221"/>
      <c r="C1028" s="221"/>
      <c r="D1028" s="210" t="s">
        <v>146</v>
      </c>
      <c r="E1028" s="212">
        <v>7</v>
      </c>
      <c r="F1028" s="212">
        <v>10040</v>
      </c>
      <c r="G1028" s="212">
        <v>70280</v>
      </c>
      <c r="H1028" s="212">
        <v>0</v>
      </c>
      <c r="I1028" s="212">
        <v>0</v>
      </c>
      <c r="J1028" s="212">
        <v>70280</v>
      </c>
    </row>
    <row r="1029" spans="1:10" ht="14.1" customHeight="1" x14ac:dyDescent="0.15">
      <c r="A1029" s="221"/>
      <c r="B1029" s="221"/>
      <c r="C1029" s="221"/>
      <c r="D1029" s="210" t="s">
        <v>83</v>
      </c>
      <c r="E1029" s="212">
        <v>1</v>
      </c>
      <c r="F1029" s="212">
        <v>10040</v>
      </c>
      <c r="G1029" s="212">
        <v>10040</v>
      </c>
      <c r="H1029" s="212">
        <v>0</v>
      </c>
      <c r="I1029" s="212">
        <v>0</v>
      </c>
      <c r="J1029" s="212">
        <v>10040</v>
      </c>
    </row>
    <row r="1030" spans="1:10" ht="14.1" customHeight="1" x14ac:dyDescent="0.15">
      <c r="A1030" s="221"/>
      <c r="B1030" s="221"/>
      <c r="C1030" s="221"/>
      <c r="D1030" s="210" t="s">
        <v>136</v>
      </c>
      <c r="E1030" s="212">
        <v>8</v>
      </c>
      <c r="F1030" s="212">
        <v>6828</v>
      </c>
      <c r="G1030" s="212">
        <v>54624</v>
      </c>
      <c r="H1030" s="212">
        <v>0</v>
      </c>
      <c r="I1030" s="212">
        <v>0</v>
      </c>
      <c r="J1030" s="212">
        <v>54624</v>
      </c>
    </row>
    <row r="1031" spans="1:10" ht="14.1" customHeight="1" x14ac:dyDescent="0.15">
      <c r="A1031" s="221"/>
      <c r="B1031" s="221"/>
      <c r="C1031" s="221"/>
      <c r="D1031" s="210" t="s">
        <v>77</v>
      </c>
      <c r="E1031" s="212">
        <v>176</v>
      </c>
      <c r="F1031" s="212">
        <v>6828</v>
      </c>
      <c r="G1031" s="212">
        <v>1201728</v>
      </c>
      <c r="H1031" s="212">
        <v>0</v>
      </c>
      <c r="I1031" s="212">
        <v>0</v>
      </c>
      <c r="J1031" s="212">
        <v>1201728</v>
      </c>
    </row>
    <row r="1032" spans="1:10" ht="14.1" customHeight="1" x14ac:dyDescent="0.15">
      <c r="A1032" s="221"/>
      <c r="B1032" s="221"/>
      <c r="C1032" s="221"/>
      <c r="D1032" s="210" t="s">
        <v>147</v>
      </c>
      <c r="E1032" s="212">
        <v>3</v>
      </c>
      <c r="F1032" s="212">
        <v>2410</v>
      </c>
      <c r="G1032" s="212">
        <v>7230</v>
      </c>
      <c r="H1032" s="212">
        <v>0</v>
      </c>
      <c r="I1032" s="212">
        <v>0</v>
      </c>
      <c r="J1032" s="212">
        <v>7230</v>
      </c>
    </row>
    <row r="1033" spans="1:10" ht="14.1" customHeight="1" x14ac:dyDescent="0.15">
      <c r="A1033" s="221"/>
      <c r="B1033" s="221"/>
      <c r="C1033" s="221"/>
      <c r="D1033" s="210" t="s">
        <v>142</v>
      </c>
      <c r="E1033" s="212">
        <v>3</v>
      </c>
      <c r="F1033" s="212">
        <v>4097</v>
      </c>
      <c r="G1033" s="212">
        <v>12291</v>
      </c>
      <c r="H1033" s="212">
        <v>0</v>
      </c>
      <c r="I1033" s="212">
        <v>0</v>
      </c>
      <c r="J1033" s="212">
        <v>12291</v>
      </c>
    </row>
    <row r="1034" spans="1:10" ht="14.1" customHeight="1" x14ac:dyDescent="0.15">
      <c r="A1034" s="221"/>
      <c r="B1034" s="221"/>
      <c r="C1034" s="221"/>
      <c r="D1034" s="210" t="s">
        <v>143</v>
      </c>
      <c r="E1034" s="212">
        <v>10</v>
      </c>
      <c r="F1034" s="212">
        <v>5103</v>
      </c>
      <c r="G1034" s="212">
        <v>51030</v>
      </c>
      <c r="H1034" s="212">
        <v>0</v>
      </c>
      <c r="I1034" s="212">
        <v>0</v>
      </c>
      <c r="J1034" s="212">
        <v>51030</v>
      </c>
    </row>
    <row r="1035" spans="1:10" ht="14.1" customHeight="1" x14ac:dyDescent="0.15">
      <c r="A1035" s="221"/>
      <c r="B1035" s="221"/>
      <c r="C1035" s="221"/>
      <c r="D1035" s="210" t="s">
        <v>138</v>
      </c>
      <c r="E1035" s="212">
        <v>10</v>
      </c>
      <c r="F1035" s="212">
        <v>5103</v>
      </c>
      <c r="G1035" s="212">
        <v>51030</v>
      </c>
      <c r="H1035" s="212">
        <v>0</v>
      </c>
      <c r="I1035" s="212">
        <v>0</v>
      </c>
      <c r="J1035" s="212">
        <v>51030</v>
      </c>
    </row>
    <row r="1036" spans="1:10" ht="29.1" customHeight="1" x14ac:dyDescent="0.15">
      <c r="A1036" s="221"/>
      <c r="B1036" s="221"/>
      <c r="C1036" s="222" t="s">
        <v>159</v>
      </c>
      <c r="D1036" s="210" t="s">
        <v>70</v>
      </c>
      <c r="E1036" s="212">
        <v>26</v>
      </c>
      <c r="F1036" s="212">
        <v>3986</v>
      </c>
      <c r="G1036" s="212">
        <v>103636</v>
      </c>
      <c r="H1036" s="212">
        <v>1421</v>
      </c>
      <c r="I1036" s="212">
        <v>36946</v>
      </c>
      <c r="J1036" s="212">
        <v>66690</v>
      </c>
    </row>
    <row r="1037" spans="1:10" ht="14.1" customHeight="1" x14ac:dyDescent="0.15">
      <c r="A1037" s="221"/>
      <c r="B1037" s="221"/>
      <c r="C1037" s="221"/>
      <c r="D1037" s="210" t="s">
        <v>79</v>
      </c>
      <c r="E1037" s="212">
        <v>8</v>
      </c>
      <c r="F1037" s="212">
        <v>28332</v>
      </c>
      <c r="G1037" s="212">
        <v>226656</v>
      </c>
      <c r="H1037" s="212">
        <v>1421</v>
      </c>
      <c r="I1037" s="212">
        <v>11368</v>
      </c>
      <c r="J1037" s="212">
        <v>215288</v>
      </c>
    </row>
    <row r="1038" spans="1:10" ht="14.1" customHeight="1" x14ac:dyDescent="0.15">
      <c r="A1038" s="221"/>
      <c r="B1038" s="221"/>
      <c r="C1038" s="221"/>
      <c r="D1038" s="210" t="s">
        <v>73</v>
      </c>
      <c r="E1038" s="212">
        <v>3</v>
      </c>
      <c r="F1038" s="212">
        <v>14548</v>
      </c>
      <c r="G1038" s="212">
        <v>43644</v>
      </c>
      <c r="H1038" s="212">
        <v>1421</v>
      </c>
      <c r="I1038" s="212">
        <v>4263</v>
      </c>
      <c r="J1038" s="212">
        <v>39381</v>
      </c>
    </row>
    <row r="1039" spans="1:10" ht="14.1" customHeight="1" x14ac:dyDescent="0.15">
      <c r="A1039" s="221"/>
      <c r="B1039" s="221"/>
      <c r="C1039" s="221"/>
      <c r="D1039" s="210" t="s">
        <v>74</v>
      </c>
      <c r="E1039" s="212">
        <v>1</v>
      </c>
      <c r="F1039" s="212">
        <v>11461</v>
      </c>
      <c r="G1039" s="212">
        <v>11461</v>
      </c>
      <c r="H1039" s="212">
        <v>1421</v>
      </c>
      <c r="I1039" s="212">
        <v>1421</v>
      </c>
      <c r="J1039" s="212">
        <v>10040</v>
      </c>
    </row>
    <row r="1040" spans="1:10" ht="14.1" customHeight="1" x14ac:dyDescent="0.15">
      <c r="A1040" s="221"/>
      <c r="B1040" s="221"/>
      <c r="C1040" s="221"/>
      <c r="D1040" s="210" t="s">
        <v>71</v>
      </c>
      <c r="E1040" s="212">
        <v>54</v>
      </c>
      <c r="F1040" s="212">
        <v>8249</v>
      </c>
      <c r="G1040" s="212">
        <v>445446</v>
      </c>
      <c r="H1040" s="212">
        <v>1421</v>
      </c>
      <c r="I1040" s="212">
        <v>76734</v>
      </c>
      <c r="J1040" s="212">
        <v>368712</v>
      </c>
    </row>
    <row r="1041" spans="1:10" ht="14.1" customHeight="1" x14ac:dyDescent="0.15">
      <c r="A1041" s="221"/>
      <c r="B1041" s="221"/>
      <c r="C1041" s="221"/>
      <c r="D1041" s="210" t="s">
        <v>82</v>
      </c>
      <c r="E1041" s="212">
        <v>1</v>
      </c>
      <c r="F1041" s="212">
        <v>3831</v>
      </c>
      <c r="G1041" s="212">
        <v>3831</v>
      </c>
      <c r="H1041" s="212">
        <v>1421</v>
      </c>
      <c r="I1041" s="212">
        <v>1421</v>
      </c>
      <c r="J1041" s="212">
        <v>2410</v>
      </c>
    </row>
    <row r="1042" spans="1:10" ht="14.1" customHeight="1" x14ac:dyDescent="0.15">
      <c r="A1042" s="221"/>
      <c r="B1042" s="221"/>
      <c r="C1042" s="221"/>
      <c r="D1042" s="210" t="s">
        <v>139</v>
      </c>
      <c r="E1042" s="212">
        <v>44</v>
      </c>
      <c r="F1042" s="212">
        <v>5518</v>
      </c>
      <c r="G1042" s="212">
        <v>242792</v>
      </c>
      <c r="H1042" s="212">
        <v>1421</v>
      </c>
      <c r="I1042" s="212">
        <v>62524</v>
      </c>
      <c r="J1042" s="212">
        <v>180268</v>
      </c>
    </row>
    <row r="1043" spans="1:10" ht="14.1" customHeight="1" x14ac:dyDescent="0.15">
      <c r="A1043" s="221"/>
      <c r="B1043" s="221"/>
      <c r="C1043" s="221"/>
      <c r="D1043" s="210" t="s">
        <v>140</v>
      </c>
      <c r="E1043" s="212">
        <v>1</v>
      </c>
      <c r="F1043" s="212">
        <v>6524</v>
      </c>
      <c r="G1043" s="212">
        <v>6524</v>
      </c>
      <c r="H1043" s="212">
        <v>1421</v>
      </c>
      <c r="I1043" s="212">
        <v>1421</v>
      </c>
      <c r="J1043" s="212">
        <v>5103</v>
      </c>
    </row>
    <row r="1044" spans="1:10" ht="29.1" customHeight="1" x14ac:dyDescent="0.15">
      <c r="A1044" s="221"/>
      <c r="B1044" s="221"/>
      <c r="C1044" s="222" t="s">
        <v>160</v>
      </c>
      <c r="D1044" s="210" t="s">
        <v>70</v>
      </c>
      <c r="E1044" s="212">
        <v>4</v>
      </c>
      <c r="F1044" s="212">
        <v>3932</v>
      </c>
      <c r="G1044" s="212">
        <v>15728</v>
      </c>
      <c r="H1044" s="212">
        <v>1367</v>
      </c>
      <c r="I1044" s="212">
        <v>5468</v>
      </c>
      <c r="J1044" s="212">
        <v>10260</v>
      </c>
    </row>
    <row r="1045" spans="1:10" ht="14.1" customHeight="1" x14ac:dyDescent="0.15">
      <c r="A1045" s="221"/>
      <c r="B1045" s="221"/>
      <c r="C1045" s="221"/>
      <c r="D1045" s="210" t="s">
        <v>73</v>
      </c>
      <c r="E1045" s="212">
        <v>2</v>
      </c>
      <c r="F1045" s="212">
        <v>14494</v>
      </c>
      <c r="G1045" s="212">
        <v>28988</v>
      </c>
      <c r="H1045" s="212">
        <v>1367</v>
      </c>
      <c r="I1045" s="212">
        <v>2734</v>
      </c>
      <c r="J1045" s="212">
        <v>26254</v>
      </c>
    </row>
    <row r="1046" spans="1:10" ht="14.1" customHeight="1" x14ac:dyDescent="0.15">
      <c r="A1046" s="221"/>
      <c r="B1046" s="221"/>
      <c r="C1046" s="221"/>
      <c r="D1046" s="210" t="s">
        <v>71</v>
      </c>
      <c r="E1046" s="212">
        <v>1</v>
      </c>
      <c r="F1046" s="212">
        <v>8195</v>
      </c>
      <c r="G1046" s="212">
        <v>8195</v>
      </c>
      <c r="H1046" s="212">
        <v>1367</v>
      </c>
      <c r="I1046" s="212">
        <v>1367</v>
      </c>
      <c r="J1046" s="212">
        <v>6828</v>
      </c>
    </row>
    <row r="1047" spans="1:10" ht="14.1" customHeight="1" x14ac:dyDescent="0.15">
      <c r="A1047" s="221"/>
      <c r="B1047" s="221"/>
      <c r="C1047" s="221"/>
      <c r="D1047" s="210" t="s">
        <v>139</v>
      </c>
      <c r="E1047" s="212">
        <v>51</v>
      </c>
      <c r="F1047" s="212">
        <v>5360</v>
      </c>
      <c r="G1047" s="212">
        <v>273344</v>
      </c>
      <c r="H1047" s="212">
        <v>1367</v>
      </c>
      <c r="I1047" s="212">
        <v>69717</v>
      </c>
      <c r="J1047" s="212">
        <v>203627</v>
      </c>
    </row>
    <row r="1048" spans="1:10" ht="29.1" customHeight="1" x14ac:dyDescent="0.15">
      <c r="A1048" s="221"/>
      <c r="B1048" s="221"/>
      <c r="C1048" s="222" t="s">
        <v>161</v>
      </c>
      <c r="D1048" s="210" t="s">
        <v>70</v>
      </c>
      <c r="E1048" s="212">
        <v>839</v>
      </c>
      <c r="F1048" s="212">
        <v>3267</v>
      </c>
      <c r="G1048" s="212">
        <v>2741013</v>
      </c>
      <c r="H1048" s="212">
        <v>702</v>
      </c>
      <c r="I1048" s="212">
        <v>588978</v>
      </c>
      <c r="J1048" s="212">
        <v>2152035</v>
      </c>
    </row>
    <row r="1049" spans="1:10" ht="14.1" customHeight="1" x14ac:dyDescent="0.15">
      <c r="A1049" s="221"/>
      <c r="B1049" s="221"/>
      <c r="C1049" s="221"/>
      <c r="D1049" s="210" t="s">
        <v>88</v>
      </c>
      <c r="E1049" s="212">
        <v>17</v>
      </c>
      <c r="F1049" s="212">
        <v>61914</v>
      </c>
      <c r="G1049" s="212">
        <v>1052538</v>
      </c>
      <c r="H1049" s="212">
        <v>702</v>
      </c>
      <c r="I1049" s="212">
        <v>11934</v>
      </c>
      <c r="J1049" s="212">
        <v>1040604</v>
      </c>
    </row>
    <row r="1050" spans="1:10" ht="14.1" customHeight="1" x14ac:dyDescent="0.15">
      <c r="A1050" s="221"/>
      <c r="B1050" s="221"/>
      <c r="C1050" s="221"/>
      <c r="D1050" s="210" t="s">
        <v>101</v>
      </c>
      <c r="E1050" s="212">
        <v>3</v>
      </c>
      <c r="F1050" s="212">
        <v>45688</v>
      </c>
      <c r="G1050" s="212">
        <v>137064</v>
      </c>
      <c r="H1050" s="212">
        <v>702</v>
      </c>
      <c r="I1050" s="212">
        <v>2106</v>
      </c>
      <c r="J1050" s="212">
        <v>134958</v>
      </c>
    </row>
    <row r="1051" spans="1:10" ht="14.1" customHeight="1" x14ac:dyDescent="0.15">
      <c r="A1051" s="221"/>
      <c r="B1051" s="221"/>
      <c r="C1051" s="221"/>
      <c r="D1051" s="210" t="s">
        <v>79</v>
      </c>
      <c r="E1051" s="212">
        <v>2056</v>
      </c>
      <c r="F1051" s="212">
        <v>27613</v>
      </c>
      <c r="G1051" s="212">
        <v>56772328</v>
      </c>
      <c r="H1051" s="212">
        <v>702</v>
      </c>
      <c r="I1051" s="212">
        <v>1443312</v>
      </c>
      <c r="J1051" s="212">
        <v>55329016</v>
      </c>
    </row>
    <row r="1052" spans="1:10" ht="14.1" customHeight="1" x14ac:dyDescent="0.15">
      <c r="A1052" s="221"/>
      <c r="B1052" s="221"/>
      <c r="C1052" s="221"/>
      <c r="D1052" s="210" t="s">
        <v>73</v>
      </c>
      <c r="E1052" s="212">
        <v>4690</v>
      </c>
      <c r="F1052" s="212">
        <v>13829</v>
      </c>
      <c r="G1052" s="212">
        <v>64858010</v>
      </c>
      <c r="H1052" s="212">
        <v>702</v>
      </c>
      <c r="I1052" s="212">
        <v>3292380</v>
      </c>
      <c r="J1052" s="212">
        <v>61565630</v>
      </c>
    </row>
    <row r="1053" spans="1:10" ht="14.1" customHeight="1" x14ac:dyDescent="0.15">
      <c r="A1053" s="221"/>
      <c r="B1053" s="221"/>
      <c r="C1053" s="221"/>
      <c r="D1053" s="210" t="s">
        <v>74</v>
      </c>
      <c r="E1053" s="212">
        <v>560</v>
      </c>
      <c r="F1053" s="212">
        <v>10742</v>
      </c>
      <c r="G1053" s="212">
        <v>6015520</v>
      </c>
      <c r="H1053" s="212">
        <v>702</v>
      </c>
      <c r="I1053" s="212">
        <v>393120</v>
      </c>
      <c r="J1053" s="212">
        <v>5622400</v>
      </c>
    </row>
    <row r="1054" spans="1:10" ht="14.1" customHeight="1" x14ac:dyDescent="0.15">
      <c r="A1054" s="221"/>
      <c r="B1054" s="221"/>
      <c r="C1054" s="221"/>
      <c r="D1054" s="210" t="s">
        <v>71</v>
      </c>
      <c r="E1054" s="212">
        <v>4245</v>
      </c>
      <c r="F1054" s="212">
        <v>7530</v>
      </c>
      <c r="G1054" s="212">
        <v>31964850</v>
      </c>
      <c r="H1054" s="212">
        <v>702</v>
      </c>
      <c r="I1054" s="212">
        <v>2979990</v>
      </c>
      <c r="J1054" s="212">
        <v>28984860</v>
      </c>
    </row>
    <row r="1055" spans="1:10" ht="14.1" customHeight="1" x14ac:dyDescent="0.15">
      <c r="A1055" s="221"/>
      <c r="B1055" s="221"/>
      <c r="C1055" s="221"/>
      <c r="D1055" s="210" t="s">
        <v>72</v>
      </c>
      <c r="E1055" s="212">
        <v>29</v>
      </c>
      <c r="F1055" s="212">
        <v>4953</v>
      </c>
      <c r="G1055" s="212">
        <v>143637</v>
      </c>
      <c r="H1055" s="212">
        <v>702</v>
      </c>
      <c r="I1055" s="212">
        <v>20358</v>
      </c>
      <c r="J1055" s="212">
        <v>123279</v>
      </c>
    </row>
    <row r="1056" spans="1:10" ht="14.1" customHeight="1" x14ac:dyDescent="0.15">
      <c r="A1056" s="221"/>
      <c r="B1056" s="221"/>
      <c r="C1056" s="221"/>
      <c r="D1056" s="210" t="s">
        <v>82</v>
      </c>
      <c r="E1056" s="212">
        <v>12</v>
      </c>
      <c r="F1056" s="212">
        <v>3112</v>
      </c>
      <c r="G1056" s="212">
        <v>37344</v>
      </c>
      <c r="H1056" s="212">
        <v>702</v>
      </c>
      <c r="I1056" s="212">
        <v>8424</v>
      </c>
      <c r="J1056" s="212">
        <v>28920</v>
      </c>
    </row>
    <row r="1057" spans="1:10" ht="14.1" customHeight="1" x14ac:dyDescent="0.15">
      <c r="A1057" s="221"/>
      <c r="B1057" s="221"/>
      <c r="C1057" s="221"/>
      <c r="D1057" s="210" t="s">
        <v>75</v>
      </c>
      <c r="E1057" s="212">
        <v>26</v>
      </c>
      <c r="F1057" s="212">
        <v>1907</v>
      </c>
      <c r="G1057" s="212">
        <v>49582</v>
      </c>
      <c r="H1057" s="212">
        <v>702</v>
      </c>
      <c r="I1057" s="212">
        <v>18252</v>
      </c>
      <c r="J1057" s="212">
        <v>31330</v>
      </c>
    </row>
    <row r="1058" spans="1:10" ht="14.1" customHeight="1" x14ac:dyDescent="0.15">
      <c r="A1058" s="221"/>
      <c r="B1058" s="221"/>
      <c r="C1058" s="221"/>
      <c r="D1058" s="210" t="s">
        <v>69</v>
      </c>
      <c r="E1058" s="212">
        <v>20</v>
      </c>
      <c r="F1058" s="212">
        <v>24895</v>
      </c>
      <c r="G1058" s="212">
        <v>497900</v>
      </c>
      <c r="H1058" s="212">
        <v>702</v>
      </c>
      <c r="I1058" s="212">
        <v>14040</v>
      </c>
      <c r="J1058" s="212">
        <v>483860</v>
      </c>
    </row>
    <row r="1059" spans="1:10" ht="14.1" customHeight="1" x14ac:dyDescent="0.15">
      <c r="A1059" s="221"/>
      <c r="B1059" s="221"/>
      <c r="C1059" s="221"/>
      <c r="D1059" s="210" t="s">
        <v>139</v>
      </c>
      <c r="E1059" s="212">
        <v>892</v>
      </c>
      <c r="F1059" s="212">
        <v>4799</v>
      </c>
      <c r="G1059" s="212">
        <v>4280708</v>
      </c>
      <c r="H1059" s="212">
        <v>702</v>
      </c>
      <c r="I1059" s="212">
        <v>626184</v>
      </c>
      <c r="J1059" s="212">
        <v>3654524</v>
      </c>
    </row>
    <row r="1060" spans="1:10" ht="14.1" customHeight="1" x14ac:dyDescent="0.15">
      <c r="A1060" s="221"/>
      <c r="B1060" s="221"/>
      <c r="C1060" s="221"/>
      <c r="D1060" s="210" t="s">
        <v>140</v>
      </c>
      <c r="E1060" s="212">
        <v>1219</v>
      </c>
      <c r="F1060" s="212">
        <v>5805</v>
      </c>
      <c r="G1060" s="212">
        <v>7076295</v>
      </c>
      <c r="H1060" s="212">
        <v>702</v>
      </c>
      <c r="I1060" s="212">
        <v>855738</v>
      </c>
      <c r="J1060" s="212">
        <v>6220557</v>
      </c>
    </row>
    <row r="1061" spans="1:10" ht="14.1" customHeight="1" x14ac:dyDescent="0.15">
      <c r="A1061" s="221"/>
      <c r="B1061" s="220" t="s">
        <v>168</v>
      </c>
      <c r="C1061" s="223" t="s">
        <v>67</v>
      </c>
      <c r="D1061" s="210" t="s">
        <v>144</v>
      </c>
      <c r="E1061" s="212">
        <v>1</v>
      </c>
      <c r="F1061" s="212">
        <v>44986</v>
      </c>
      <c r="G1061" s="212">
        <v>44986</v>
      </c>
      <c r="H1061" s="212">
        <v>925</v>
      </c>
      <c r="I1061" s="212">
        <v>925</v>
      </c>
      <c r="J1061" s="212">
        <v>44061</v>
      </c>
    </row>
    <row r="1062" spans="1:10" ht="14.1" customHeight="1" x14ac:dyDescent="0.15">
      <c r="A1062" s="221"/>
      <c r="B1062" s="221"/>
      <c r="C1062" s="221"/>
      <c r="D1062" s="210" t="s">
        <v>145</v>
      </c>
      <c r="E1062" s="212">
        <v>31</v>
      </c>
      <c r="F1062" s="212">
        <v>26911</v>
      </c>
      <c r="G1062" s="212">
        <v>834241</v>
      </c>
      <c r="H1062" s="212">
        <v>925</v>
      </c>
      <c r="I1062" s="212">
        <v>28675</v>
      </c>
      <c r="J1062" s="212">
        <v>805566</v>
      </c>
    </row>
    <row r="1063" spans="1:10" ht="14.1" customHeight="1" x14ac:dyDescent="0.15">
      <c r="A1063" s="221"/>
      <c r="B1063" s="221"/>
      <c r="C1063" s="221"/>
      <c r="D1063" s="210" t="s">
        <v>85</v>
      </c>
      <c r="E1063" s="212">
        <v>141</v>
      </c>
      <c r="F1063" s="212">
        <v>26911</v>
      </c>
      <c r="G1063" s="212">
        <v>3794451</v>
      </c>
      <c r="H1063" s="212">
        <v>925</v>
      </c>
      <c r="I1063" s="212">
        <v>130425</v>
      </c>
      <c r="J1063" s="212">
        <v>3664026</v>
      </c>
    </row>
    <row r="1064" spans="1:10" ht="14.1" customHeight="1" x14ac:dyDescent="0.15">
      <c r="A1064" s="221"/>
      <c r="B1064" s="221"/>
      <c r="C1064" s="221"/>
      <c r="D1064" s="210" t="s">
        <v>141</v>
      </c>
      <c r="E1064" s="212">
        <v>16</v>
      </c>
      <c r="F1064" s="212">
        <v>13127</v>
      </c>
      <c r="G1064" s="212">
        <v>210032</v>
      </c>
      <c r="H1064" s="212">
        <v>925</v>
      </c>
      <c r="I1064" s="212">
        <v>14800</v>
      </c>
      <c r="J1064" s="212">
        <v>195232</v>
      </c>
    </row>
    <row r="1065" spans="1:10" ht="14.1" customHeight="1" x14ac:dyDescent="0.15">
      <c r="A1065" s="221"/>
      <c r="B1065" s="221"/>
      <c r="C1065" s="221"/>
      <c r="D1065" s="210" t="s">
        <v>78</v>
      </c>
      <c r="E1065" s="212">
        <v>1</v>
      </c>
      <c r="F1065" s="212">
        <v>13127</v>
      </c>
      <c r="G1065" s="212">
        <v>13127</v>
      </c>
      <c r="H1065" s="212">
        <v>925</v>
      </c>
      <c r="I1065" s="212">
        <v>925</v>
      </c>
      <c r="J1065" s="212">
        <v>12202</v>
      </c>
    </row>
    <row r="1066" spans="1:10" ht="14.1" customHeight="1" x14ac:dyDescent="0.15">
      <c r="A1066" s="221"/>
      <c r="B1066" s="221"/>
      <c r="C1066" s="221"/>
      <c r="D1066" s="210" t="s">
        <v>146</v>
      </c>
      <c r="E1066" s="212">
        <v>45</v>
      </c>
      <c r="F1066" s="212">
        <v>10040</v>
      </c>
      <c r="G1066" s="212">
        <v>451800</v>
      </c>
      <c r="H1066" s="212">
        <v>925</v>
      </c>
      <c r="I1066" s="212">
        <v>41625</v>
      </c>
      <c r="J1066" s="212">
        <v>410175</v>
      </c>
    </row>
    <row r="1067" spans="1:10" ht="14.1" customHeight="1" x14ac:dyDescent="0.15">
      <c r="A1067" s="221"/>
      <c r="B1067" s="221"/>
      <c r="C1067" s="221"/>
      <c r="D1067" s="210" t="s">
        <v>83</v>
      </c>
      <c r="E1067" s="212">
        <v>2</v>
      </c>
      <c r="F1067" s="212">
        <v>10040</v>
      </c>
      <c r="G1067" s="212">
        <v>20080</v>
      </c>
      <c r="H1067" s="212">
        <v>925</v>
      </c>
      <c r="I1067" s="212">
        <v>1850</v>
      </c>
      <c r="J1067" s="212">
        <v>18230</v>
      </c>
    </row>
    <row r="1068" spans="1:10" ht="14.1" customHeight="1" x14ac:dyDescent="0.15">
      <c r="A1068" s="221"/>
      <c r="B1068" s="221"/>
      <c r="C1068" s="221"/>
      <c r="D1068" s="210" t="s">
        <v>136</v>
      </c>
      <c r="E1068" s="212">
        <v>64</v>
      </c>
      <c r="F1068" s="212">
        <v>6828</v>
      </c>
      <c r="G1068" s="212">
        <v>436992</v>
      </c>
      <c r="H1068" s="212">
        <v>925</v>
      </c>
      <c r="I1068" s="212">
        <v>59200</v>
      </c>
      <c r="J1068" s="212">
        <v>377792</v>
      </c>
    </row>
    <row r="1069" spans="1:10" ht="14.1" customHeight="1" x14ac:dyDescent="0.15">
      <c r="A1069" s="221"/>
      <c r="B1069" s="221"/>
      <c r="C1069" s="221"/>
      <c r="D1069" s="210" t="s">
        <v>77</v>
      </c>
      <c r="E1069" s="212">
        <v>1041</v>
      </c>
      <c r="F1069" s="212">
        <v>6828</v>
      </c>
      <c r="G1069" s="212">
        <v>7107948</v>
      </c>
      <c r="H1069" s="212">
        <v>925</v>
      </c>
      <c r="I1069" s="212">
        <v>962925</v>
      </c>
      <c r="J1069" s="212">
        <v>6145023</v>
      </c>
    </row>
    <row r="1070" spans="1:10" ht="14.1" customHeight="1" x14ac:dyDescent="0.15">
      <c r="A1070" s="221"/>
      <c r="B1070" s="221"/>
      <c r="C1070" s="221"/>
      <c r="D1070" s="210" t="s">
        <v>149</v>
      </c>
      <c r="E1070" s="212">
        <v>9</v>
      </c>
      <c r="F1070" s="212">
        <v>4251</v>
      </c>
      <c r="G1070" s="212">
        <v>38259</v>
      </c>
      <c r="H1070" s="212">
        <v>925</v>
      </c>
      <c r="I1070" s="212">
        <v>8325</v>
      </c>
      <c r="J1070" s="212">
        <v>29934</v>
      </c>
    </row>
    <row r="1071" spans="1:10" ht="14.1" customHeight="1" x14ac:dyDescent="0.15">
      <c r="A1071" s="221"/>
      <c r="B1071" s="221"/>
      <c r="C1071" s="221"/>
      <c r="D1071" s="210" t="s">
        <v>147</v>
      </c>
      <c r="E1071" s="212">
        <v>9</v>
      </c>
      <c r="F1071" s="212">
        <v>2410</v>
      </c>
      <c r="G1071" s="212">
        <v>21690</v>
      </c>
      <c r="H1071" s="212">
        <v>925</v>
      </c>
      <c r="I1071" s="212">
        <v>8325</v>
      </c>
      <c r="J1071" s="212">
        <v>13365</v>
      </c>
    </row>
    <row r="1072" spans="1:10" ht="14.1" customHeight="1" x14ac:dyDescent="0.15">
      <c r="A1072" s="221"/>
      <c r="B1072" s="221"/>
      <c r="C1072" s="221"/>
      <c r="D1072" s="210" t="s">
        <v>84</v>
      </c>
      <c r="E1072" s="212">
        <v>3</v>
      </c>
      <c r="F1072" s="212">
        <v>2410</v>
      </c>
      <c r="G1072" s="212">
        <v>7230</v>
      </c>
      <c r="H1072" s="212">
        <v>925</v>
      </c>
      <c r="I1072" s="212">
        <v>2775</v>
      </c>
      <c r="J1072" s="212">
        <v>4455</v>
      </c>
    </row>
    <row r="1073" spans="1:10" ht="29.1" customHeight="1" x14ac:dyDescent="0.15">
      <c r="A1073" s="221"/>
      <c r="B1073" s="221"/>
      <c r="C1073" s="222" t="s">
        <v>159</v>
      </c>
      <c r="D1073" s="210" t="s">
        <v>79</v>
      </c>
      <c r="E1073" s="212">
        <v>11</v>
      </c>
      <c r="F1073" s="212">
        <v>28332</v>
      </c>
      <c r="G1073" s="212">
        <v>311652</v>
      </c>
      <c r="H1073" s="212">
        <v>2346</v>
      </c>
      <c r="I1073" s="212">
        <v>25806</v>
      </c>
      <c r="J1073" s="212">
        <v>285846</v>
      </c>
    </row>
    <row r="1074" spans="1:10" ht="14.1" customHeight="1" x14ac:dyDescent="0.15">
      <c r="A1074" s="221"/>
      <c r="B1074" s="221"/>
      <c r="C1074" s="221"/>
      <c r="D1074" s="210" t="s">
        <v>74</v>
      </c>
      <c r="E1074" s="212">
        <v>4</v>
      </c>
      <c r="F1074" s="212">
        <v>11461</v>
      </c>
      <c r="G1074" s="212">
        <v>45844</v>
      </c>
      <c r="H1074" s="212">
        <v>2346</v>
      </c>
      <c r="I1074" s="212">
        <v>9384</v>
      </c>
      <c r="J1074" s="212">
        <v>36460</v>
      </c>
    </row>
    <row r="1075" spans="1:10" ht="14.1" customHeight="1" x14ac:dyDescent="0.15">
      <c r="A1075" s="221"/>
      <c r="B1075" s="221"/>
      <c r="C1075" s="221"/>
      <c r="D1075" s="210" t="s">
        <v>71</v>
      </c>
      <c r="E1075" s="212">
        <v>158</v>
      </c>
      <c r="F1075" s="212">
        <v>8249</v>
      </c>
      <c r="G1075" s="212">
        <v>1303342</v>
      </c>
      <c r="H1075" s="212">
        <v>2346</v>
      </c>
      <c r="I1075" s="212">
        <v>370668</v>
      </c>
      <c r="J1075" s="212">
        <v>932674</v>
      </c>
    </row>
    <row r="1076" spans="1:10" ht="14.1" customHeight="1" x14ac:dyDescent="0.15">
      <c r="A1076" s="221"/>
      <c r="B1076" s="221"/>
      <c r="C1076" s="221"/>
      <c r="D1076" s="210" t="s">
        <v>72</v>
      </c>
      <c r="E1076" s="212">
        <v>1</v>
      </c>
      <c r="F1076" s="212">
        <v>5672</v>
      </c>
      <c r="G1076" s="212">
        <v>5672</v>
      </c>
      <c r="H1076" s="212">
        <v>2346</v>
      </c>
      <c r="I1076" s="212">
        <v>2346</v>
      </c>
      <c r="J1076" s="212">
        <v>3326</v>
      </c>
    </row>
    <row r="1077" spans="1:10" ht="29.1" customHeight="1" x14ac:dyDescent="0.15">
      <c r="A1077" s="221"/>
      <c r="B1077" s="221"/>
      <c r="C1077" s="222" t="s">
        <v>161</v>
      </c>
      <c r="D1077" s="210" t="s">
        <v>88</v>
      </c>
      <c r="E1077" s="212">
        <v>12</v>
      </c>
      <c r="F1077" s="212">
        <v>61914</v>
      </c>
      <c r="G1077" s="212">
        <v>742968</v>
      </c>
      <c r="H1077" s="212">
        <v>1627</v>
      </c>
      <c r="I1077" s="212">
        <v>19524</v>
      </c>
      <c r="J1077" s="212">
        <v>723444</v>
      </c>
    </row>
    <row r="1078" spans="1:10" ht="14.1" customHeight="1" x14ac:dyDescent="0.15">
      <c r="A1078" s="221"/>
      <c r="B1078" s="221"/>
      <c r="C1078" s="221"/>
      <c r="D1078" s="210" t="s">
        <v>101</v>
      </c>
      <c r="E1078" s="212">
        <v>149</v>
      </c>
      <c r="F1078" s="212">
        <v>45688</v>
      </c>
      <c r="G1078" s="212">
        <v>6807512</v>
      </c>
      <c r="H1078" s="212">
        <v>1627</v>
      </c>
      <c r="I1078" s="212">
        <v>242423</v>
      </c>
      <c r="J1078" s="212">
        <v>6565089</v>
      </c>
    </row>
    <row r="1079" spans="1:10" ht="14.1" customHeight="1" x14ac:dyDescent="0.15">
      <c r="A1079" s="221"/>
      <c r="B1079" s="221"/>
      <c r="C1079" s="221"/>
      <c r="D1079" s="210" t="s">
        <v>79</v>
      </c>
      <c r="E1079" s="212">
        <v>3104</v>
      </c>
      <c r="F1079" s="212">
        <v>27613</v>
      </c>
      <c r="G1079" s="212">
        <v>85710752</v>
      </c>
      <c r="H1079" s="212">
        <v>1627</v>
      </c>
      <c r="I1079" s="212">
        <v>5050208</v>
      </c>
      <c r="J1079" s="212">
        <v>80660544</v>
      </c>
    </row>
    <row r="1080" spans="1:10" ht="14.1" customHeight="1" x14ac:dyDescent="0.15">
      <c r="A1080" s="221"/>
      <c r="B1080" s="221"/>
      <c r="C1080" s="221"/>
      <c r="D1080" s="210" t="s">
        <v>73</v>
      </c>
      <c r="E1080" s="212">
        <v>2979</v>
      </c>
      <c r="F1080" s="212">
        <v>13829</v>
      </c>
      <c r="G1080" s="212">
        <v>41196591</v>
      </c>
      <c r="H1080" s="212">
        <v>1627</v>
      </c>
      <c r="I1080" s="212">
        <v>4846833</v>
      </c>
      <c r="J1080" s="212">
        <v>36349758</v>
      </c>
    </row>
    <row r="1081" spans="1:10" ht="14.1" customHeight="1" x14ac:dyDescent="0.15">
      <c r="A1081" s="221"/>
      <c r="B1081" s="221"/>
      <c r="C1081" s="221"/>
      <c r="D1081" s="210" t="s">
        <v>74</v>
      </c>
      <c r="E1081" s="212">
        <v>4668</v>
      </c>
      <c r="F1081" s="212">
        <v>10742</v>
      </c>
      <c r="G1081" s="212">
        <v>50143656</v>
      </c>
      <c r="H1081" s="212">
        <v>1627</v>
      </c>
      <c r="I1081" s="212">
        <v>7594836</v>
      </c>
      <c r="J1081" s="212">
        <v>42548820</v>
      </c>
    </row>
    <row r="1082" spans="1:10" ht="14.1" customHeight="1" x14ac:dyDescent="0.15">
      <c r="A1082" s="221"/>
      <c r="B1082" s="221"/>
      <c r="C1082" s="221"/>
      <c r="D1082" s="210" t="s">
        <v>71</v>
      </c>
      <c r="E1082" s="212">
        <v>8216</v>
      </c>
      <c r="F1082" s="212">
        <v>7530</v>
      </c>
      <c r="G1082" s="212">
        <v>61866480</v>
      </c>
      <c r="H1082" s="212">
        <v>1627</v>
      </c>
      <c r="I1082" s="212">
        <v>13367432</v>
      </c>
      <c r="J1082" s="212">
        <v>48499048</v>
      </c>
    </row>
    <row r="1083" spans="1:10" ht="14.1" customHeight="1" x14ac:dyDescent="0.15">
      <c r="A1083" s="221"/>
      <c r="B1083" s="221"/>
      <c r="C1083" s="221"/>
      <c r="D1083" s="210" t="s">
        <v>72</v>
      </c>
      <c r="E1083" s="212">
        <v>488</v>
      </c>
      <c r="F1083" s="212">
        <v>4953</v>
      </c>
      <c r="G1083" s="212">
        <v>2417064</v>
      </c>
      <c r="H1083" s="212">
        <v>1627</v>
      </c>
      <c r="I1083" s="212">
        <v>793976</v>
      </c>
      <c r="J1083" s="212">
        <v>1623088</v>
      </c>
    </row>
    <row r="1084" spans="1:10" ht="14.1" customHeight="1" x14ac:dyDescent="0.15">
      <c r="A1084" s="221"/>
      <c r="B1084" s="221"/>
      <c r="C1084" s="221"/>
      <c r="D1084" s="210" t="s">
        <v>82</v>
      </c>
      <c r="E1084" s="212">
        <v>287</v>
      </c>
      <c r="F1084" s="212">
        <v>3112</v>
      </c>
      <c r="G1084" s="212">
        <v>893144</v>
      </c>
      <c r="H1084" s="212">
        <v>1627</v>
      </c>
      <c r="I1084" s="212">
        <v>466949</v>
      </c>
      <c r="J1084" s="212">
        <v>426195</v>
      </c>
    </row>
    <row r="1085" spans="1:10" ht="14.1" customHeight="1" x14ac:dyDescent="0.15">
      <c r="A1085" s="221"/>
      <c r="B1085" s="221"/>
      <c r="C1085" s="221"/>
      <c r="D1085" s="210" t="s">
        <v>75</v>
      </c>
      <c r="E1085" s="212">
        <v>361</v>
      </c>
      <c r="F1085" s="212">
        <v>1907</v>
      </c>
      <c r="G1085" s="212">
        <v>688427</v>
      </c>
      <c r="H1085" s="212">
        <v>1627</v>
      </c>
      <c r="I1085" s="212">
        <v>587347</v>
      </c>
      <c r="J1085" s="212">
        <v>101080</v>
      </c>
    </row>
    <row r="1086" spans="1:10" ht="29.1" customHeight="1" x14ac:dyDescent="0.15">
      <c r="A1086" s="222" t="s">
        <v>218</v>
      </c>
      <c r="B1086" s="221" t="s">
        <v>53</v>
      </c>
      <c r="C1086" s="221"/>
      <c r="D1086" s="221"/>
      <c r="E1086" s="212">
        <v>7901</v>
      </c>
      <c r="F1086" s="212">
        <v>520517</v>
      </c>
      <c r="G1086" s="212">
        <v>114918295</v>
      </c>
      <c r="H1086" s="212"/>
      <c r="I1086" s="212">
        <v>7292300</v>
      </c>
      <c r="J1086" s="212">
        <v>107625995</v>
      </c>
    </row>
    <row r="1087" spans="1:10" ht="14.1" customHeight="1" x14ac:dyDescent="0.15">
      <c r="A1087" s="221"/>
      <c r="B1087" s="210" t="s">
        <v>63</v>
      </c>
      <c r="C1087" s="210" t="s">
        <v>64</v>
      </c>
      <c r="D1087" s="210" t="s">
        <v>65</v>
      </c>
      <c r="E1087" s="218">
        <v>9</v>
      </c>
      <c r="F1087" s="218">
        <v>10841</v>
      </c>
      <c r="G1087" s="218">
        <v>97569</v>
      </c>
      <c r="H1087" s="218">
        <v>2292</v>
      </c>
      <c r="I1087" s="218">
        <v>20628</v>
      </c>
      <c r="J1087" s="218">
        <v>76941</v>
      </c>
    </row>
    <row r="1088" spans="1:10" ht="29.1" customHeight="1" x14ac:dyDescent="0.15">
      <c r="A1088" s="221"/>
      <c r="B1088" s="220" t="s">
        <v>66</v>
      </c>
      <c r="C1088" s="209" t="s">
        <v>160</v>
      </c>
      <c r="D1088" s="210" t="s">
        <v>133</v>
      </c>
      <c r="E1088" s="219"/>
      <c r="F1088" s="219"/>
      <c r="G1088" s="219"/>
      <c r="H1088" s="219"/>
      <c r="I1088" s="219"/>
      <c r="J1088" s="219"/>
    </row>
    <row r="1089" spans="1:10" ht="29.1" customHeight="1" x14ac:dyDescent="0.15">
      <c r="A1089" s="221"/>
      <c r="B1089" s="221"/>
      <c r="C1089" s="209" t="s">
        <v>161</v>
      </c>
      <c r="D1089" s="210" t="s">
        <v>133</v>
      </c>
      <c r="E1089" s="212">
        <v>224</v>
      </c>
      <c r="F1089" s="212">
        <v>10841</v>
      </c>
      <c r="G1089" s="212">
        <v>2428384</v>
      </c>
      <c r="H1089" s="212">
        <v>1627</v>
      </c>
      <c r="I1089" s="212">
        <v>364448</v>
      </c>
      <c r="J1089" s="212">
        <v>2063936</v>
      </c>
    </row>
    <row r="1090" spans="1:10" ht="42.95" customHeight="1" x14ac:dyDescent="0.15">
      <c r="A1090" s="221"/>
      <c r="B1090" s="222" t="s">
        <v>215</v>
      </c>
      <c r="C1090" s="223" t="s">
        <v>67</v>
      </c>
      <c r="D1090" s="210" t="s">
        <v>145</v>
      </c>
      <c r="E1090" s="212">
        <v>1</v>
      </c>
      <c r="F1090" s="212">
        <v>26911</v>
      </c>
      <c r="G1090" s="212">
        <v>26911</v>
      </c>
      <c r="H1090" s="212">
        <v>0</v>
      </c>
      <c r="I1090" s="212">
        <v>0</v>
      </c>
      <c r="J1090" s="212">
        <v>26911</v>
      </c>
    </row>
    <row r="1091" spans="1:10" ht="14.1" customHeight="1" x14ac:dyDescent="0.15">
      <c r="A1091" s="221"/>
      <c r="B1091" s="221"/>
      <c r="C1091" s="221"/>
      <c r="D1091" s="210" t="s">
        <v>85</v>
      </c>
      <c r="E1091" s="212">
        <v>4</v>
      </c>
      <c r="F1091" s="212">
        <v>26911</v>
      </c>
      <c r="G1091" s="212">
        <v>107644</v>
      </c>
      <c r="H1091" s="212">
        <v>0</v>
      </c>
      <c r="I1091" s="212">
        <v>0</v>
      </c>
      <c r="J1091" s="212">
        <v>107644</v>
      </c>
    </row>
    <row r="1092" spans="1:10" ht="14.1" customHeight="1" x14ac:dyDescent="0.15">
      <c r="A1092" s="221"/>
      <c r="B1092" s="221"/>
      <c r="C1092" s="221"/>
      <c r="D1092" s="210" t="s">
        <v>141</v>
      </c>
      <c r="E1092" s="212">
        <v>3</v>
      </c>
      <c r="F1092" s="212">
        <v>13127</v>
      </c>
      <c r="G1092" s="212">
        <v>39381</v>
      </c>
      <c r="H1092" s="212">
        <v>0</v>
      </c>
      <c r="I1092" s="212">
        <v>0</v>
      </c>
      <c r="J1092" s="212">
        <v>39381</v>
      </c>
    </row>
    <row r="1093" spans="1:10" ht="14.1" customHeight="1" x14ac:dyDescent="0.15">
      <c r="A1093" s="221"/>
      <c r="B1093" s="221"/>
      <c r="C1093" s="221"/>
      <c r="D1093" s="210" t="s">
        <v>78</v>
      </c>
      <c r="E1093" s="212">
        <v>8</v>
      </c>
      <c r="F1093" s="212">
        <v>13127</v>
      </c>
      <c r="G1093" s="212">
        <v>105016</v>
      </c>
      <c r="H1093" s="212">
        <v>0</v>
      </c>
      <c r="I1093" s="212">
        <v>0</v>
      </c>
      <c r="J1093" s="212">
        <v>105016</v>
      </c>
    </row>
    <row r="1094" spans="1:10" ht="14.1" customHeight="1" x14ac:dyDescent="0.15">
      <c r="A1094" s="221"/>
      <c r="B1094" s="221"/>
      <c r="C1094" s="221"/>
      <c r="D1094" s="210" t="s">
        <v>83</v>
      </c>
      <c r="E1094" s="212">
        <v>1</v>
      </c>
      <c r="F1094" s="212">
        <v>10040</v>
      </c>
      <c r="G1094" s="212">
        <v>10040</v>
      </c>
      <c r="H1094" s="212">
        <v>0</v>
      </c>
      <c r="I1094" s="212">
        <v>0</v>
      </c>
      <c r="J1094" s="212">
        <v>10040</v>
      </c>
    </row>
    <row r="1095" spans="1:10" ht="14.1" customHeight="1" x14ac:dyDescent="0.15">
      <c r="A1095" s="221"/>
      <c r="B1095" s="221"/>
      <c r="C1095" s="221"/>
      <c r="D1095" s="210" t="s">
        <v>136</v>
      </c>
      <c r="E1095" s="212">
        <v>3</v>
      </c>
      <c r="F1095" s="212">
        <v>6828</v>
      </c>
      <c r="G1095" s="212">
        <v>20484</v>
      </c>
      <c r="H1095" s="212">
        <v>0</v>
      </c>
      <c r="I1095" s="212">
        <v>0</v>
      </c>
      <c r="J1095" s="212">
        <v>20484</v>
      </c>
    </row>
    <row r="1096" spans="1:10" ht="14.1" customHeight="1" x14ac:dyDescent="0.15">
      <c r="A1096" s="221"/>
      <c r="B1096" s="221"/>
      <c r="C1096" s="221"/>
      <c r="D1096" s="210" t="s">
        <v>77</v>
      </c>
      <c r="E1096" s="212">
        <v>62</v>
      </c>
      <c r="F1096" s="212">
        <v>6828</v>
      </c>
      <c r="G1096" s="212">
        <v>423336</v>
      </c>
      <c r="H1096" s="212">
        <v>0</v>
      </c>
      <c r="I1096" s="212">
        <v>0</v>
      </c>
      <c r="J1096" s="212">
        <v>423336</v>
      </c>
    </row>
    <row r="1097" spans="1:10" ht="14.1" customHeight="1" x14ac:dyDescent="0.15">
      <c r="A1097" s="221"/>
      <c r="B1097" s="221"/>
      <c r="C1097" s="221"/>
      <c r="D1097" s="210" t="s">
        <v>89</v>
      </c>
      <c r="E1097" s="212">
        <v>2</v>
      </c>
      <c r="F1097" s="212">
        <v>1205</v>
      </c>
      <c r="G1097" s="212">
        <v>2410</v>
      </c>
      <c r="H1097" s="212">
        <v>0</v>
      </c>
      <c r="I1097" s="212">
        <v>0</v>
      </c>
      <c r="J1097" s="212">
        <v>2410</v>
      </c>
    </row>
    <row r="1098" spans="1:10" ht="29.1" customHeight="1" x14ac:dyDescent="0.15">
      <c r="A1098" s="221"/>
      <c r="B1098" s="221"/>
      <c r="C1098" s="222" t="s">
        <v>159</v>
      </c>
      <c r="D1098" s="210" t="s">
        <v>79</v>
      </c>
      <c r="E1098" s="212">
        <v>12</v>
      </c>
      <c r="F1098" s="212">
        <v>28332</v>
      </c>
      <c r="G1098" s="212">
        <v>339984</v>
      </c>
      <c r="H1098" s="212">
        <v>1421</v>
      </c>
      <c r="I1098" s="212">
        <v>17052</v>
      </c>
      <c r="J1098" s="212">
        <v>322932</v>
      </c>
    </row>
    <row r="1099" spans="1:10" ht="14.1" customHeight="1" x14ac:dyDescent="0.15">
      <c r="A1099" s="221"/>
      <c r="B1099" s="221"/>
      <c r="C1099" s="221"/>
      <c r="D1099" s="210" t="s">
        <v>73</v>
      </c>
      <c r="E1099" s="212">
        <v>1</v>
      </c>
      <c r="F1099" s="212">
        <v>14548</v>
      </c>
      <c r="G1099" s="212">
        <v>14548</v>
      </c>
      <c r="H1099" s="212">
        <v>1421</v>
      </c>
      <c r="I1099" s="212">
        <v>1421</v>
      </c>
      <c r="J1099" s="212">
        <v>13127</v>
      </c>
    </row>
    <row r="1100" spans="1:10" ht="14.1" customHeight="1" x14ac:dyDescent="0.15">
      <c r="A1100" s="221"/>
      <c r="B1100" s="221"/>
      <c r="C1100" s="221"/>
      <c r="D1100" s="210" t="s">
        <v>71</v>
      </c>
      <c r="E1100" s="212">
        <v>16</v>
      </c>
      <c r="F1100" s="212">
        <v>8249</v>
      </c>
      <c r="G1100" s="212">
        <v>131984</v>
      </c>
      <c r="H1100" s="212">
        <v>1421</v>
      </c>
      <c r="I1100" s="212">
        <v>22736</v>
      </c>
      <c r="J1100" s="212">
        <v>109248</v>
      </c>
    </row>
    <row r="1101" spans="1:10" ht="29.1" customHeight="1" x14ac:dyDescent="0.15">
      <c r="A1101" s="221"/>
      <c r="B1101" s="221"/>
      <c r="C1101" s="222" t="s">
        <v>161</v>
      </c>
      <c r="D1101" s="210" t="s">
        <v>101</v>
      </c>
      <c r="E1101" s="212">
        <v>14</v>
      </c>
      <c r="F1101" s="212">
        <v>45791</v>
      </c>
      <c r="G1101" s="212">
        <v>641070</v>
      </c>
      <c r="H1101" s="212">
        <v>702</v>
      </c>
      <c r="I1101" s="212">
        <v>9828</v>
      </c>
      <c r="J1101" s="212">
        <v>631242</v>
      </c>
    </row>
    <row r="1102" spans="1:10" ht="14.1" customHeight="1" x14ac:dyDescent="0.15">
      <c r="A1102" s="221"/>
      <c r="B1102" s="221"/>
      <c r="C1102" s="221"/>
      <c r="D1102" s="210" t="s">
        <v>79</v>
      </c>
      <c r="E1102" s="212">
        <v>1487</v>
      </c>
      <c r="F1102" s="212">
        <v>27623</v>
      </c>
      <c r="G1102" s="212">
        <v>41075630</v>
      </c>
      <c r="H1102" s="212">
        <v>702</v>
      </c>
      <c r="I1102" s="212">
        <v>1043874</v>
      </c>
      <c r="J1102" s="212">
        <v>40031756</v>
      </c>
    </row>
    <row r="1103" spans="1:10" ht="14.1" customHeight="1" x14ac:dyDescent="0.15">
      <c r="A1103" s="221"/>
      <c r="B1103" s="221"/>
      <c r="C1103" s="221"/>
      <c r="D1103" s="210" t="s">
        <v>73</v>
      </c>
      <c r="E1103" s="212">
        <v>981</v>
      </c>
      <c r="F1103" s="212">
        <v>13829</v>
      </c>
      <c r="G1103" s="212">
        <v>13566249</v>
      </c>
      <c r="H1103" s="212">
        <v>702</v>
      </c>
      <c r="I1103" s="212">
        <v>688662</v>
      </c>
      <c r="J1103" s="212">
        <v>12877587</v>
      </c>
    </row>
    <row r="1104" spans="1:10" ht="14.1" customHeight="1" x14ac:dyDescent="0.15">
      <c r="A1104" s="221"/>
      <c r="B1104" s="221"/>
      <c r="C1104" s="221"/>
      <c r="D1104" s="210" t="s">
        <v>74</v>
      </c>
      <c r="E1104" s="212">
        <v>35</v>
      </c>
      <c r="F1104" s="212">
        <v>10742</v>
      </c>
      <c r="G1104" s="212">
        <v>375970</v>
      </c>
      <c r="H1104" s="212">
        <v>702</v>
      </c>
      <c r="I1104" s="212">
        <v>24570</v>
      </c>
      <c r="J1104" s="212">
        <v>351400</v>
      </c>
    </row>
    <row r="1105" spans="1:10" ht="14.1" customHeight="1" x14ac:dyDescent="0.15">
      <c r="A1105" s="221"/>
      <c r="B1105" s="221"/>
      <c r="C1105" s="221"/>
      <c r="D1105" s="210" t="s">
        <v>71</v>
      </c>
      <c r="E1105" s="212">
        <v>3262</v>
      </c>
      <c r="F1105" s="212">
        <v>7537</v>
      </c>
      <c r="G1105" s="212">
        <v>24584430</v>
      </c>
      <c r="H1105" s="212">
        <v>702</v>
      </c>
      <c r="I1105" s="212">
        <v>2289924</v>
      </c>
      <c r="J1105" s="212">
        <v>22294506</v>
      </c>
    </row>
    <row r="1106" spans="1:10" ht="14.1" customHeight="1" x14ac:dyDescent="0.15">
      <c r="A1106" s="221"/>
      <c r="B1106" s="221"/>
      <c r="C1106" s="221"/>
      <c r="D1106" s="210" t="s">
        <v>75</v>
      </c>
      <c r="E1106" s="212">
        <v>10</v>
      </c>
      <c r="F1106" s="212">
        <v>1907</v>
      </c>
      <c r="G1106" s="212">
        <v>19070</v>
      </c>
      <c r="H1106" s="212">
        <v>702</v>
      </c>
      <c r="I1106" s="212">
        <v>7020</v>
      </c>
      <c r="J1106" s="212">
        <v>12050</v>
      </c>
    </row>
    <row r="1107" spans="1:10" ht="14.1" customHeight="1" x14ac:dyDescent="0.15">
      <c r="A1107" s="221"/>
      <c r="B1107" s="221"/>
      <c r="C1107" s="221"/>
      <c r="D1107" s="210" t="s">
        <v>140</v>
      </c>
      <c r="E1107" s="212">
        <v>5</v>
      </c>
      <c r="F1107" s="212">
        <v>5805</v>
      </c>
      <c r="G1107" s="212">
        <v>29025</v>
      </c>
      <c r="H1107" s="212">
        <v>702</v>
      </c>
      <c r="I1107" s="212">
        <v>3510</v>
      </c>
      <c r="J1107" s="212">
        <v>25515</v>
      </c>
    </row>
    <row r="1108" spans="1:10" ht="14.1" customHeight="1" x14ac:dyDescent="0.15">
      <c r="A1108" s="221"/>
      <c r="B1108" s="220" t="s">
        <v>168</v>
      </c>
      <c r="C1108" s="223" t="s">
        <v>67</v>
      </c>
      <c r="D1108" s="210" t="s">
        <v>145</v>
      </c>
      <c r="E1108" s="212">
        <v>2</v>
      </c>
      <c r="F1108" s="212">
        <v>26911</v>
      </c>
      <c r="G1108" s="212">
        <v>53822</v>
      </c>
      <c r="H1108" s="212">
        <v>925</v>
      </c>
      <c r="I1108" s="212">
        <v>1850</v>
      </c>
      <c r="J1108" s="212">
        <v>51972</v>
      </c>
    </row>
    <row r="1109" spans="1:10" ht="14.1" customHeight="1" x14ac:dyDescent="0.15">
      <c r="A1109" s="221"/>
      <c r="B1109" s="221"/>
      <c r="C1109" s="221"/>
      <c r="D1109" s="210" t="s">
        <v>85</v>
      </c>
      <c r="E1109" s="212">
        <v>6</v>
      </c>
      <c r="F1109" s="212">
        <v>26911</v>
      </c>
      <c r="G1109" s="212">
        <v>161466</v>
      </c>
      <c r="H1109" s="212">
        <v>925</v>
      </c>
      <c r="I1109" s="212">
        <v>5550</v>
      </c>
      <c r="J1109" s="212">
        <v>155916</v>
      </c>
    </row>
    <row r="1110" spans="1:10" ht="14.1" customHeight="1" x14ac:dyDescent="0.15">
      <c r="A1110" s="221"/>
      <c r="B1110" s="221"/>
      <c r="C1110" s="221"/>
      <c r="D1110" s="210" t="s">
        <v>78</v>
      </c>
      <c r="E1110" s="212">
        <v>1</v>
      </c>
      <c r="F1110" s="212">
        <v>13127</v>
      </c>
      <c r="G1110" s="212">
        <v>13127</v>
      </c>
      <c r="H1110" s="212">
        <v>925</v>
      </c>
      <c r="I1110" s="212">
        <v>925</v>
      </c>
      <c r="J1110" s="212">
        <v>12202</v>
      </c>
    </row>
    <row r="1111" spans="1:10" ht="14.1" customHeight="1" x14ac:dyDescent="0.15">
      <c r="A1111" s="221"/>
      <c r="B1111" s="221"/>
      <c r="C1111" s="221"/>
      <c r="D1111" s="210" t="s">
        <v>136</v>
      </c>
      <c r="E1111" s="212">
        <v>2</v>
      </c>
      <c r="F1111" s="212">
        <v>6828</v>
      </c>
      <c r="G1111" s="212">
        <v>13656</v>
      </c>
      <c r="H1111" s="212">
        <v>925</v>
      </c>
      <c r="I1111" s="212">
        <v>1850</v>
      </c>
      <c r="J1111" s="212">
        <v>11806</v>
      </c>
    </row>
    <row r="1112" spans="1:10" ht="14.1" customHeight="1" x14ac:dyDescent="0.15">
      <c r="A1112" s="221"/>
      <c r="B1112" s="221"/>
      <c r="C1112" s="221"/>
      <c r="D1112" s="210" t="s">
        <v>77</v>
      </c>
      <c r="E1112" s="212">
        <v>94</v>
      </c>
      <c r="F1112" s="212">
        <v>6828</v>
      </c>
      <c r="G1112" s="212">
        <v>641832</v>
      </c>
      <c r="H1112" s="212">
        <v>925</v>
      </c>
      <c r="I1112" s="212">
        <v>86950</v>
      </c>
      <c r="J1112" s="212">
        <v>554882</v>
      </c>
    </row>
    <row r="1113" spans="1:10" ht="29.1" customHeight="1" x14ac:dyDescent="0.15">
      <c r="A1113" s="221"/>
      <c r="B1113" s="221"/>
      <c r="C1113" s="222" t="s">
        <v>159</v>
      </c>
      <c r="D1113" s="210" t="s">
        <v>79</v>
      </c>
      <c r="E1113" s="212">
        <v>3</v>
      </c>
      <c r="F1113" s="212">
        <v>28332</v>
      </c>
      <c r="G1113" s="212">
        <v>84996</v>
      </c>
      <c r="H1113" s="212">
        <v>2346</v>
      </c>
      <c r="I1113" s="212">
        <v>7038</v>
      </c>
      <c r="J1113" s="212">
        <v>77958</v>
      </c>
    </row>
    <row r="1114" spans="1:10" ht="14.1" customHeight="1" x14ac:dyDescent="0.15">
      <c r="A1114" s="221"/>
      <c r="B1114" s="221"/>
      <c r="C1114" s="221"/>
      <c r="D1114" s="210" t="s">
        <v>73</v>
      </c>
      <c r="E1114" s="212">
        <v>2</v>
      </c>
      <c r="F1114" s="212">
        <v>14548</v>
      </c>
      <c r="G1114" s="212">
        <v>29096</v>
      </c>
      <c r="H1114" s="212">
        <v>2346</v>
      </c>
      <c r="I1114" s="212">
        <v>4692</v>
      </c>
      <c r="J1114" s="212">
        <v>24404</v>
      </c>
    </row>
    <row r="1115" spans="1:10" ht="14.1" customHeight="1" x14ac:dyDescent="0.15">
      <c r="A1115" s="221"/>
      <c r="B1115" s="221"/>
      <c r="C1115" s="221"/>
      <c r="D1115" s="210" t="s">
        <v>71</v>
      </c>
      <c r="E1115" s="212">
        <v>5</v>
      </c>
      <c r="F1115" s="212">
        <v>8249</v>
      </c>
      <c r="G1115" s="212">
        <v>41245</v>
      </c>
      <c r="H1115" s="212">
        <v>2346</v>
      </c>
      <c r="I1115" s="212">
        <v>11730</v>
      </c>
      <c r="J1115" s="212">
        <v>29515</v>
      </c>
    </row>
    <row r="1116" spans="1:10" ht="29.1" customHeight="1" x14ac:dyDescent="0.15">
      <c r="A1116" s="221"/>
      <c r="B1116" s="221"/>
      <c r="C1116" s="222" t="s">
        <v>161</v>
      </c>
      <c r="D1116" s="210" t="s">
        <v>101</v>
      </c>
      <c r="E1116" s="212">
        <v>55</v>
      </c>
      <c r="F1116" s="212">
        <v>45989</v>
      </c>
      <c r="G1116" s="212">
        <v>2529377</v>
      </c>
      <c r="H1116" s="212">
        <v>1627</v>
      </c>
      <c r="I1116" s="212">
        <v>89485</v>
      </c>
      <c r="J1116" s="212">
        <v>2439892</v>
      </c>
    </row>
    <row r="1117" spans="1:10" ht="14.1" customHeight="1" x14ac:dyDescent="0.15">
      <c r="A1117" s="221"/>
      <c r="B1117" s="221"/>
      <c r="C1117" s="221"/>
      <c r="D1117" s="210" t="s">
        <v>79</v>
      </c>
      <c r="E1117" s="212">
        <v>720</v>
      </c>
      <c r="F1117" s="212">
        <v>28127</v>
      </c>
      <c r="G1117" s="212">
        <v>20251645</v>
      </c>
      <c r="H1117" s="212">
        <v>1627</v>
      </c>
      <c r="I1117" s="212">
        <v>1171440</v>
      </c>
      <c r="J1117" s="212">
        <v>19080205</v>
      </c>
    </row>
    <row r="1118" spans="1:10" ht="14.1" customHeight="1" x14ac:dyDescent="0.15">
      <c r="A1118" s="221"/>
      <c r="B1118" s="221"/>
      <c r="C1118" s="221"/>
      <c r="D1118" s="210" t="s">
        <v>73</v>
      </c>
      <c r="E1118" s="212">
        <v>56</v>
      </c>
      <c r="F1118" s="212">
        <v>14034</v>
      </c>
      <c r="G1118" s="212">
        <v>785928</v>
      </c>
      <c r="H1118" s="212">
        <v>1627</v>
      </c>
      <c r="I1118" s="212">
        <v>91112</v>
      </c>
      <c r="J1118" s="212">
        <v>694816</v>
      </c>
    </row>
    <row r="1119" spans="1:10" ht="14.1" customHeight="1" x14ac:dyDescent="0.15">
      <c r="A1119" s="221"/>
      <c r="B1119" s="221"/>
      <c r="C1119" s="221"/>
      <c r="D1119" s="210" t="s">
        <v>71</v>
      </c>
      <c r="E1119" s="212">
        <v>814</v>
      </c>
      <c r="F1119" s="212">
        <v>7704</v>
      </c>
      <c r="G1119" s="212">
        <v>6271063</v>
      </c>
      <c r="H1119" s="212">
        <v>1627</v>
      </c>
      <c r="I1119" s="212">
        <v>1324378</v>
      </c>
      <c r="J1119" s="212">
        <v>4946685</v>
      </c>
    </row>
    <row r="1120" spans="1:10" ht="14.1" customHeight="1" x14ac:dyDescent="0.15">
      <c r="A1120" s="221"/>
      <c r="B1120" s="221"/>
      <c r="C1120" s="221"/>
      <c r="D1120" s="210" t="s">
        <v>75</v>
      </c>
      <c r="E1120" s="212">
        <v>1</v>
      </c>
      <c r="F1120" s="212">
        <v>1907</v>
      </c>
      <c r="G1120" s="212">
        <v>1907</v>
      </c>
      <c r="H1120" s="212">
        <v>1627</v>
      </c>
      <c r="I1120" s="212">
        <v>1627</v>
      </c>
      <c r="J1120" s="212">
        <v>280</v>
      </c>
    </row>
    <row r="1121" ht="12" customHeight="1" x14ac:dyDescent="0.15"/>
  </sheetData>
  <autoFilter ref="B1:B1121"/>
  <mergeCells count="431">
    <mergeCell ref="A1:D1"/>
    <mergeCell ref="E2:E3"/>
    <mergeCell ref="F2:F3"/>
    <mergeCell ref="G2:G3"/>
    <mergeCell ref="H2:H3"/>
    <mergeCell ref="I2:I3"/>
    <mergeCell ref="C5:C6"/>
    <mergeCell ref="B10:B20"/>
    <mergeCell ref="C10:C13"/>
    <mergeCell ref="C14:C16"/>
    <mergeCell ref="C17:C20"/>
    <mergeCell ref="B21:B23"/>
    <mergeCell ref="C21:C23"/>
    <mergeCell ref="J2:J3"/>
    <mergeCell ref="A3:A100"/>
    <mergeCell ref="B3:D3"/>
    <mergeCell ref="E4:E5"/>
    <mergeCell ref="F4:F5"/>
    <mergeCell ref="G4:G5"/>
    <mergeCell ref="H4:H5"/>
    <mergeCell ref="I4:I5"/>
    <mergeCell ref="J4:J5"/>
    <mergeCell ref="B5:B9"/>
    <mergeCell ref="B24:B66"/>
    <mergeCell ref="C24:C37"/>
    <mergeCell ref="C38:C46"/>
    <mergeCell ref="C47:C52"/>
    <mergeCell ref="C53:C66"/>
    <mergeCell ref="B67:B100"/>
    <mergeCell ref="C67:C81"/>
    <mergeCell ref="C82:C86"/>
    <mergeCell ref="C87:C91"/>
    <mergeCell ref="C92:C100"/>
    <mergeCell ref="I102:I103"/>
    <mergeCell ref="J102:J103"/>
    <mergeCell ref="B103:B106"/>
    <mergeCell ref="C103:C104"/>
    <mergeCell ref="B107:B128"/>
    <mergeCell ref="C107:C113"/>
    <mergeCell ref="C114:C119"/>
    <mergeCell ref="C121:C128"/>
    <mergeCell ref="A101:A130"/>
    <mergeCell ref="B101:D101"/>
    <mergeCell ref="E102:E103"/>
    <mergeCell ref="F102:F103"/>
    <mergeCell ref="G102:G103"/>
    <mergeCell ref="H102:H103"/>
    <mergeCell ref="B129:B130"/>
    <mergeCell ref="C129:C130"/>
    <mergeCell ref="I132:I133"/>
    <mergeCell ref="J132:J133"/>
    <mergeCell ref="B133:B134"/>
    <mergeCell ref="B136:B149"/>
    <mergeCell ref="C136:C140"/>
    <mergeCell ref="C141:C142"/>
    <mergeCell ref="C144:C149"/>
    <mergeCell ref="A131:A150"/>
    <mergeCell ref="B131:D131"/>
    <mergeCell ref="E132:E133"/>
    <mergeCell ref="F132:F133"/>
    <mergeCell ref="G132:G133"/>
    <mergeCell ref="H132:H133"/>
    <mergeCell ref="I152:I153"/>
    <mergeCell ref="J152:J153"/>
    <mergeCell ref="B153:B156"/>
    <mergeCell ref="C153:C154"/>
    <mergeCell ref="B158:B159"/>
    <mergeCell ref="C158:C159"/>
    <mergeCell ref="A151:A239"/>
    <mergeCell ref="B151:D151"/>
    <mergeCell ref="E152:E153"/>
    <mergeCell ref="F152:F153"/>
    <mergeCell ref="G152:G153"/>
    <mergeCell ref="H152:H153"/>
    <mergeCell ref="B160:B204"/>
    <mergeCell ref="C160:C177"/>
    <mergeCell ref="C178:C189"/>
    <mergeCell ref="C190:C191"/>
    <mergeCell ref="E241:E242"/>
    <mergeCell ref="F241:F242"/>
    <mergeCell ref="G241:G242"/>
    <mergeCell ref="H241:H242"/>
    <mergeCell ref="I241:I242"/>
    <mergeCell ref="J241:J242"/>
    <mergeCell ref="C192:C204"/>
    <mergeCell ref="B205:B239"/>
    <mergeCell ref="C205:C222"/>
    <mergeCell ref="C223:C230"/>
    <mergeCell ref="C231:C239"/>
    <mergeCell ref="B240:D240"/>
    <mergeCell ref="B242:B245"/>
    <mergeCell ref="C242:C243"/>
    <mergeCell ref="J259:J260"/>
    <mergeCell ref="B260:B263"/>
    <mergeCell ref="C260:C261"/>
    <mergeCell ref="C246:C249"/>
    <mergeCell ref="C252:C257"/>
    <mergeCell ref="A258:A344"/>
    <mergeCell ref="B258:D258"/>
    <mergeCell ref="E259:E260"/>
    <mergeCell ref="F259:F260"/>
    <mergeCell ref="B264:B272"/>
    <mergeCell ref="C264:C265"/>
    <mergeCell ref="C266:C269"/>
    <mergeCell ref="C270:C272"/>
    <mergeCell ref="A240:A257"/>
    <mergeCell ref="B246:B257"/>
    <mergeCell ref="B273:B276"/>
    <mergeCell ref="C273:C276"/>
    <mergeCell ref="B277:B311"/>
    <mergeCell ref="C277:C290"/>
    <mergeCell ref="C291:C298"/>
    <mergeCell ref="C300:C311"/>
    <mergeCell ref="G259:G260"/>
    <mergeCell ref="H259:H260"/>
    <mergeCell ref="I259:I260"/>
    <mergeCell ref="H346:H347"/>
    <mergeCell ref="I346:I347"/>
    <mergeCell ref="J346:J347"/>
    <mergeCell ref="B312:B344"/>
    <mergeCell ref="C312:C327"/>
    <mergeCell ref="C328:C335"/>
    <mergeCell ref="C336:C344"/>
    <mergeCell ref="A345:A366"/>
    <mergeCell ref="B345:D345"/>
    <mergeCell ref="B347:B348"/>
    <mergeCell ref="B349:B365"/>
    <mergeCell ref="C349:C354"/>
    <mergeCell ref="C355:C356"/>
    <mergeCell ref="C357:C359"/>
    <mergeCell ref="C360:C365"/>
    <mergeCell ref="A367:A397"/>
    <mergeCell ref="B367:D367"/>
    <mergeCell ref="E368:E369"/>
    <mergeCell ref="F368:F369"/>
    <mergeCell ref="B393:B397"/>
    <mergeCell ref="C396:C397"/>
    <mergeCell ref="E346:E347"/>
    <mergeCell ref="F346:F347"/>
    <mergeCell ref="G368:G369"/>
    <mergeCell ref="G346:G347"/>
    <mergeCell ref="H368:H369"/>
    <mergeCell ref="I368:I369"/>
    <mergeCell ref="J368:J369"/>
    <mergeCell ref="B369:B370"/>
    <mergeCell ref="B371:B392"/>
    <mergeCell ref="C371:C379"/>
    <mergeCell ref="C380:C384"/>
    <mergeCell ref="C385:C386"/>
    <mergeCell ref="C387:C392"/>
    <mergeCell ref="A406:A432"/>
    <mergeCell ref="B406:D406"/>
    <mergeCell ref="E407:E408"/>
    <mergeCell ref="F407:F408"/>
    <mergeCell ref="G407:G408"/>
    <mergeCell ref="H407:H408"/>
    <mergeCell ref="A398:A405"/>
    <mergeCell ref="B398:D398"/>
    <mergeCell ref="E399:E400"/>
    <mergeCell ref="F399:F400"/>
    <mergeCell ref="G399:G400"/>
    <mergeCell ref="H399:H400"/>
    <mergeCell ref="I407:I408"/>
    <mergeCell ref="J407:J408"/>
    <mergeCell ref="B409:B419"/>
    <mergeCell ref="C409:C410"/>
    <mergeCell ref="C411:C412"/>
    <mergeCell ref="C413:C419"/>
    <mergeCell ref="I399:I400"/>
    <mergeCell ref="J399:J400"/>
    <mergeCell ref="B401:B405"/>
    <mergeCell ref="C402:C405"/>
    <mergeCell ref="E434:E435"/>
    <mergeCell ref="F434:F435"/>
    <mergeCell ref="G434:G435"/>
    <mergeCell ref="H434:H435"/>
    <mergeCell ref="I434:I435"/>
    <mergeCell ref="J434:J435"/>
    <mergeCell ref="B420:B432"/>
    <mergeCell ref="C420:C424"/>
    <mergeCell ref="C425:C426"/>
    <mergeCell ref="C427:C432"/>
    <mergeCell ref="B433:D433"/>
    <mergeCell ref="B435:B439"/>
    <mergeCell ref="C435:C436"/>
    <mergeCell ref="C444:C446"/>
    <mergeCell ref="B447:B448"/>
    <mergeCell ref="C447:C448"/>
    <mergeCell ref="B449:B489"/>
    <mergeCell ref="C449:C459"/>
    <mergeCell ref="C460:C466"/>
    <mergeCell ref="C467:C476"/>
    <mergeCell ref="C477:C489"/>
    <mergeCell ref="B440:B446"/>
    <mergeCell ref="C440:C441"/>
    <mergeCell ref="H525:H526"/>
    <mergeCell ref="I525:I526"/>
    <mergeCell ref="J525:J526"/>
    <mergeCell ref="B490:B523"/>
    <mergeCell ref="C490:C502"/>
    <mergeCell ref="C503:C508"/>
    <mergeCell ref="C509:C514"/>
    <mergeCell ref="C515:C523"/>
    <mergeCell ref="A524:A580"/>
    <mergeCell ref="B524:D524"/>
    <mergeCell ref="B526:B529"/>
    <mergeCell ref="C526:C527"/>
    <mergeCell ref="B530:B535"/>
    <mergeCell ref="A433:A523"/>
    <mergeCell ref="C530:C531"/>
    <mergeCell ref="C533:C535"/>
    <mergeCell ref="B536:B558"/>
    <mergeCell ref="C536:C543"/>
    <mergeCell ref="C544:C547"/>
    <mergeCell ref="C549:C558"/>
    <mergeCell ref="E525:E526"/>
    <mergeCell ref="F525:F526"/>
    <mergeCell ref="G525:G526"/>
    <mergeCell ref="C442:C443"/>
    <mergeCell ref="H582:H583"/>
    <mergeCell ref="I582:I583"/>
    <mergeCell ref="J582:J583"/>
    <mergeCell ref="B559:B580"/>
    <mergeCell ref="C559:C568"/>
    <mergeCell ref="C569:C571"/>
    <mergeCell ref="C572:C580"/>
    <mergeCell ref="A581:A641"/>
    <mergeCell ref="B581:D581"/>
    <mergeCell ref="B583:B586"/>
    <mergeCell ref="C583:C584"/>
    <mergeCell ref="B587:B616"/>
    <mergeCell ref="C587:C597"/>
    <mergeCell ref="C598:C604"/>
    <mergeCell ref="C606:C616"/>
    <mergeCell ref="B617:B641"/>
    <mergeCell ref="C617:C629"/>
    <mergeCell ref="C630:C633"/>
    <mergeCell ref="C634:C641"/>
    <mergeCell ref="E582:E583"/>
    <mergeCell ref="F582:F583"/>
    <mergeCell ref="G582:G583"/>
    <mergeCell ref="I643:I644"/>
    <mergeCell ref="J643:J644"/>
    <mergeCell ref="B644:B649"/>
    <mergeCell ref="C645:C649"/>
    <mergeCell ref="A650:A668"/>
    <mergeCell ref="B650:D650"/>
    <mergeCell ref="E651:E652"/>
    <mergeCell ref="F651:F652"/>
    <mergeCell ref="G651:G652"/>
    <mergeCell ref="H651:H652"/>
    <mergeCell ref="A642:A649"/>
    <mergeCell ref="B642:D642"/>
    <mergeCell ref="E643:E644"/>
    <mergeCell ref="F643:F644"/>
    <mergeCell ref="G643:G644"/>
    <mergeCell ref="H643:H644"/>
    <mergeCell ref="A669:A706"/>
    <mergeCell ref="B669:D669"/>
    <mergeCell ref="E670:E671"/>
    <mergeCell ref="B674:B700"/>
    <mergeCell ref="C674:C681"/>
    <mergeCell ref="C682:C690"/>
    <mergeCell ref="C691:C692"/>
    <mergeCell ref="I651:I652"/>
    <mergeCell ref="J651:J652"/>
    <mergeCell ref="B653:B663"/>
    <mergeCell ref="C653:C654"/>
    <mergeCell ref="C655:C656"/>
    <mergeCell ref="C657:C663"/>
    <mergeCell ref="F670:F671"/>
    <mergeCell ref="G670:G671"/>
    <mergeCell ref="H670:H671"/>
    <mergeCell ref="I670:I671"/>
    <mergeCell ref="J670:J671"/>
    <mergeCell ref="B671:B673"/>
    <mergeCell ref="C671:C672"/>
    <mergeCell ref="B664:B668"/>
    <mergeCell ref="C664:C665"/>
    <mergeCell ref="C667:C668"/>
    <mergeCell ref="E708:E709"/>
    <mergeCell ref="F708:F709"/>
    <mergeCell ref="G708:G709"/>
    <mergeCell ref="H708:H709"/>
    <mergeCell ref="I708:I709"/>
    <mergeCell ref="J708:J709"/>
    <mergeCell ref="C693:C700"/>
    <mergeCell ref="B701:B706"/>
    <mergeCell ref="C701:C702"/>
    <mergeCell ref="C703:C704"/>
    <mergeCell ref="C705:C706"/>
    <mergeCell ref="B707:D707"/>
    <mergeCell ref="B709:B711"/>
    <mergeCell ref="C709:C710"/>
    <mergeCell ref="A775:A779"/>
    <mergeCell ref="B775:D775"/>
    <mergeCell ref="B777:B779"/>
    <mergeCell ref="C778:C779"/>
    <mergeCell ref="C712:C714"/>
    <mergeCell ref="C715:C716"/>
    <mergeCell ref="C717:C719"/>
    <mergeCell ref="B720:B721"/>
    <mergeCell ref="C720:C721"/>
    <mergeCell ref="B722:B750"/>
    <mergeCell ref="C722:C733"/>
    <mergeCell ref="C734:C739"/>
    <mergeCell ref="C740:C750"/>
    <mergeCell ref="A707:A774"/>
    <mergeCell ref="B712:B719"/>
    <mergeCell ref="E776:E777"/>
    <mergeCell ref="F776:F777"/>
    <mergeCell ref="G776:G777"/>
    <mergeCell ref="H776:H777"/>
    <mergeCell ref="I776:I777"/>
    <mergeCell ref="J776:J777"/>
    <mergeCell ref="B751:B774"/>
    <mergeCell ref="C751:C761"/>
    <mergeCell ref="C762:C766"/>
    <mergeCell ref="C767:C774"/>
    <mergeCell ref="A780:A880"/>
    <mergeCell ref="B780:D780"/>
    <mergeCell ref="E781:E782"/>
    <mergeCell ref="F781:F782"/>
    <mergeCell ref="G781:G782"/>
    <mergeCell ref="H781:H782"/>
    <mergeCell ref="B790:B841"/>
    <mergeCell ref="C790:C807"/>
    <mergeCell ref="C808:C818"/>
    <mergeCell ref="C819:C828"/>
    <mergeCell ref="C829:C841"/>
    <mergeCell ref="B842:B880"/>
    <mergeCell ref="C842:C858"/>
    <mergeCell ref="C859:C865"/>
    <mergeCell ref="C866:C871"/>
    <mergeCell ref="C872:C880"/>
    <mergeCell ref="I781:I782"/>
    <mergeCell ref="J781:J782"/>
    <mergeCell ref="B782:B786"/>
    <mergeCell ref="C782:C783"/>
    <mergeCell ref="B788:B789"/>
    <mergeCell ref="C788:C789"/>
    <mergeCell ref="I882:I883"/>
    <mergeCell ref="J882:J883"/>
    <mergeCell ref="B884:B910"/>
    <mergeCell ref="C884:C893"/>
    <mergeCell ref="C894:C899"/>
    <mergeCell ref="C901:C910"/>
    <mergeCell ref="A881:A921"/>
    <mergeCell ref="B881:D881"/>
    <mergeCell ref="E882:E883"/>
    <mergeCell ref="F882:F883"/>
    <mergeCell ref="G882:G883"/>
    <mergeCell ref="H882:H883"/>
    <mergeCell ref="B911:B921"/>
    <mergeCell ref="C911:C913"/>
    <mergeCell ref="C915:C921"/>
    <mergeCell ref="I923:I924"/>
    <mergeCell ref="J923:J924"/>
    <mergeCell ref="B924:B927"/>
    <mergeCell ref="C924:C925"/>
    <mergeCell ref="B928:B958"/>
    <mergeCell ref="C928:C940"/>
    <mergeCell ref="C941:C946"/>
    <mergeCell ref="C947:C958"/>
    <mergeCell ref="A922:A984"/>
    <mergeCell ref="B922:D922"/>
    <mergeCell ref="E923:E924"/>
    <mergeCell ref="F923:F924"/>
    <mergeCell ref="G923:G924"/>
    <mergeCell ref="H923:H924"/>
    <mergeCell ref="B959:B984"/>
    <mergeCell ref="C959:C971"/>
    <mergeCell ref="C972:C975"/>
    <mergeCell ref="C976:C984"/>
    <mergeCell ref="I986:I987"/>
    <mergeCell ref="J986:J987"/>
    <mergeCell ref="B988:B1000"/>
    <mergeCell ref="C988:C992"/>
    <mergeCell ref="C993:C995"/>
    <mergeCell ref="C996:C1000"/>
    <mergeCell ref="A985:A1006"/>
    <mergeCell ref="B985:D985"/>
    <mergeCell ref="E986:E987"/>
    <mergeCell ref="F986:F987"/>
    <mergeCell ref="G986:G987"/>
    <mergeCell ref="H986:H987"/>
    <mergeCell ref="B1001:B1006"/>
    <mergeCell ref="C1001:C1003"/>
    <mergeCell ref="C1005:C1006"/>
    <mergeCell ref="A1007:A1085"/>
    <mergeCell ref="B1007:D1007"/>
    <mergeCell ref="E1008:E1009"/>
    <mergeCell ref="F1008:F1009"/>
    <mergeCell ref="G1008:G1009"/>
    <mergeCell ref="H1008:H1009"/>
    <mergeCell ref="B1022:B1023"/>
    <mergeCell ref="C1022:C1023"/>
    <mergeCell ref="B1024:B1060"/>
    <mergeCell ref="C1024:C1035"/>
    <mergeCell ref="C1036:C1043"/>
    <mergeCell ref="C1044:C1047"/>
    <mergeCell ref="C1048:C1060"/>
    <mergeCell ref="B1061:B1085"/>
    <mergeCell ref="C1061:C1072"/>
    <mergeCell ref="C1073:C1076"/>
    <mergeCell ref="C1077:C1085"/>
    <mergeCell ref="I1008:I1009"/>
    <mergeCell ref="J1008:J1009"/>
    <mergeCell ref="B1009:B1012"/>
    <mergeCell ref="C1009:C1010"/>
    <mergeCell ref="B1013:B1021"/>
    <mergeCell ref="C1013:C1015"/>
    <mergeCell ref="C1016:C1017"/>
    <mergeCell ref="C1018:C1021"/>
    <mergeCell ref="I1087:I1088"/>
    <mergeCell ref="J1087:J1088"/>
    <mergeCell ref="B1088:B1089"/>
    <mergeCell ref="H1087:H1088"/>
    <mergeCell ref="B1090:B1107"/>
    <mergeCell ref="C1090:C1097"/>
    <mergeCell ref="C1098:C1100"/>
    <mergeCell ref="C1101:C1107"/>
    <mergeCell ref="A1086:A1120"/>
    <mergeCell ref="B1086:D1086"/>
    <mergeCell ref="E1087:E1088"/>
    <mergeCell ref="F1087:F1088"/>
    <mergeCell ref="G1087:G1088"/>
    <mergeCell ref="B1108:B1120"/>
    <mergeCell ref="C1108:C1112"/>
    <mergeCell ref="C1113:C1115"/>
    <mergeCell ref="C1116:C11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69"/>
  <sheetViews>
    <sheetView workbookViewId="0">
      <selection activeCell="E9" sqref="E9"/>
    </sheetView>
  </sheetViews>
  <sheetFormatPr defaultRowHeight="12" x14ac:dyDescent="0.2"/>
  <cols>
    <col min="1" max="3" width="9.140625" style="188"/>
    <col min="4" max="4" width="33.140625" style="188" bestFit="1" customWidth="1"/>
    <col min="5" max="5" width="11.7109375" style="188" bestFit="1" customWidth="1"/>
    <col min="6" max="6" width="12" style="188" customWidth="1"/>
    <col min="7" max="7" width="87.85546875" style="188" bestFit="1" customWidth="1"/>
    <col min="8" max="8" width="9.140625" style="188"/>
    <col min="9" max="9" width="11.7109375" style="188" bestFit="1" customWidth="1"/>
    <col min="10" max="11" width="9.140625" style="188"/>
    <col min="12" max="12" width="10.42578125" style="188" bestFit="1" customWidth="1"/>
    <col min="13" max="16384" width="9.140625" style="188"/>
  </cols>
  <sheetData>
    <row r="5" spans="2:10" x14ac:dyDescent="0.2">
      <c r="B5" s="174" t="s">
        <v>124</v>
      </c>
      <c r="C5" s="175" t="s">
        <v>123</v>
      </c>
      <c r="D5" s="175" t="s">
        <v>0</v>
      </c>
      <c r="E5" s="174" t="s">
        <v>214</v>
      </c>
    </row>
    <row r="6" spans="2:10" x14ac:dyDescent="0.2">
      <c r="B6" s="176">
        <v>1084</v>
      </c>
      <c r="C6" s="177">
        <v>1301</v>
      </c>
      <c r="D6" s="177" t="s">
        <v>125</v>
      </c>
      <c r="E6" s="198">
        <f>I38/1000</f>
        <v>7979.9089999999997</v>
      </c>
    </row>
    <row r="7" spans="2:10" x14ac:dyDescent="0.2">
      <c r="B7" s="176">
        <v>1084</v>
      </c>
      <c r="C7" s="177">
        <v>1309</v>
      </c>
      <c r="D7" s="177" t="s">
        <v>105</v>
      </c>
      <c r="E7" s="199">
        <f>I33/1000</f>
        <v>6330.8090000000002</v>
      </c>
    </row>
    <row r="8" spans="2:10" x14ac:dyDescent="0.2">
      <c r="B8" s="176">
        <v>1084</v>
      </c>
      <c r="C8" s="177">
        <v>1330</v>
      </c>
      <c r="D8" s="177" t="s">
        <v>126</v>
      </c>
      <c r="E8" s="199">
        <f>I32/1000</f>
        <v>1035.8240000000001</v>
      </c>
    </row>
    <row r="9" spans="2:10" x14ac:dyDescent="0.2">
      <c r="B9" s="176">
        <v>1084</v>
      </c>
      <c r="C9" s="177">
        <v>1516</v>
      </c>
      <c r="D9" s="177" t="s">
        <v>121</v>
      </c>
      <c r="E9" s="200">
        <f>(I36+I37)/1000</f>
        <v>16884.501</v>
      </c>
    </row>
    <row r="10" spans="2:10" x14ac:dyDescent="0.2">
      <c r="B10" s="176">
        <v>1084</v>
      </c>
      <c r="C10" s="177">
        <v>2000</v>
      </c>
      <c r="D10" s="177" t="s">
        <v>2</v>
      </c>
      <c r="E10" s="199">
        <f>(I34+I35)/1000</f>
        <v>3793.5309999999999</v>
      </c>
    </row>
    <row r="11" spans="2:10" x14ac:dyDescent="0.2">
      <c r="B11" s="178">
        <v>1084</v>
      </c>
      <c r="C11" s="177">
        <v>4001</v>
      </c>
      <c r="D11" s="177" t="s">
        <v>3</v>
      </c>
      <c r="E11" s="201">
        <v>0</v>
      </c>
    </row>
    <row r="12" spans="2:10" x14ac:dyDescent="0.2">
      <c r="B12" s="176">
        <v>1085</v>
      </c>
      <c r="C12" s="179">
        <v>3810</v>
      </c>
      <c r="D12" s="179" t="s">
        <v>97</v>
      </c>
      <c r="E12" s="202">
        <f>I41/1000</f>
        <v>16980.058000000001</v>
      </c>
    </row>
    <row r="13" spans="2:10" x14ac:dyDescent="0.2">
      <c r="B13" s="176">
        <v>1085</v>
      </c>
      <c r="C13" s="177">
        <v>3820</v>
      </c>
      <c r="D13" s="177" t="s">
        <v>127</v>
      </c>
      <c r="E13" s="203">
        <v>0</v>
      </c>
    </row>
    <row r="14" spans="2:10" x14ac:dyDescent="0.2">
      <c r="B14" s="176">
        <v>1085</v>
      </c>
      <c r="C14" s="177">
        <v>3830</v>
      </c>
      <c r="D14" s="177" t="s">
        <v>98</v>
      </c>
      <c r="E14" s="199">
        <v>0</v>
      </c>
      <c r="J14" s="189"/>
    </row>
    <row r="15" spans="2:10" x14ac:dyDescent="0.2">
      <c r="B15" s="178">
        <v>1085</v>
      </c>
      <c r="C15" s="180">
        <v>3840</v>
      </c>
      <c r="D15" s="180" t="s">
        <v>128</v>
      </c>
      <c r="E15" s="201">
        <v>0</v>
      </c>
    </row>
    <row r="16" spans="2:10" x14ac:dyDescent="0.2">
      <c r="B16" s="176">
        <v>1083</v>
      </c>
      <c r="C16" s="177">
        <v>4202</v>
      </c>
      <c r="D16" s="177" t="s">
        <v>129</v>
      </c>
      <c r="E16" s="202">
        <f>(I44+I47+I51+I53+I54+I55+I56+I57)/1000</f>
        <v>54090.898999999998</v>
      </c>
    </row>
    <row r="17" spans="2:10" x14ac:dyDescent="0.2">
      <c r="B17" s="176">
        <v>1083</v>
      </c>
      <c r="C17" s="177">
        <v>5000</v>
      </c>
      <c r="D17" s="177" t="s">
        <v>34</v>
      </c>
      <c r="E17" s="199">
        <f>I52/1000</f>
        <v>895.13199999999995</v>
      </c>
    </row>
    <row r="18" spans="2:10" x14ac:dyDescent="0.2">
      <c r="B18" s="176">
        <v>1083</v>
      </c>
      <c r="C18" s="177">
        <v>5501</v>
      </c>
      <c r="D18" s="177" t="s">
        <v>130</v>
      </c>
      <c r="E18" s="199">
        <f>(I45+I46+I49)/1000</f>
        <v>2382.107</v>
      </c>
    </row>
    <row r="19" spans="2:10" x14ac:dyDescent="0.2">
      <c r="B19" s="176">
        <v>1083</v>
      </c>
      <c r="C19" s="177">
        <v>6007</v>
      </c>
      <c r="D19" s="177" t="s">
        <v>95</v>
      </c>
      <c r="E19" s="199">
        <v>0</v>
      </c>
    </row>
    <row r="20" spans="2:10" x14ac:dyDescent="0.2">
      <c r="B20" s="176">
        <v>1083</v>
      </c>
      <c r="C20" s="177">
        <v>6008</v>
      </c>
      <c r="D20" s="177" t="s">
        <v>103</v>
      </c>
      <c r="E20" s="199">
        <f>(I48+I50)/1000</f>
        <v>4063.7350000000001</v>
      </c>
      <c r="J20" s="189"/>
    </row>
    <row r="21" spans="2:10" x14ac:dyDescent="0.2">
      <c r="B21" s="178">
        <v>1083</v>
      </c>
      <c r="C21" s="180">
        <v>6013</v>
      </c>
      <c r="D21" s="180" t="s">
        <v>94</v>
      </c>
      <c r="E21" s="201">
        <v>0</v>
      </c>
    </row>
    <row r="22" spans="2:10" x14ac:dyDescent="0.2">
      <c r="B22" s="176">
        <v>1082</v>
      </c>
      <c r="C22" s="177">
        <v>6006</v>
      </c>
      <c r="D22" s="177" t="s">
        <v>131</v>
      </c>
      <c r="E22" s="202">
        <f>I64/1000</f>
        <v>2186.8829999999998</v>
      </c>
    </row>
    <row r="23" spans="2:10" x14ac:dyDescent="0.2">
      <c r="B23" s="176">
        <v>1082</v>
      </c>
      <c r="C23" s="177">
        <v>6650</v>
      </c>
      <c r="D23" s="177" t="s">
        <v>50</v>
      </c>
      <c r="E23" s="199">
        <v>0</v>
      </c>
    </row>
    <row r="24" spans="2:10" x14ac:dyDescent="0.2">
      <c r="B24" s="176">
        <v>1082</v>
      </c>
      <c r="C24" s="177">
        <v>6620</v>
      </c>
      <c r="D24" s="177" t="s">
        <v>107</v>
      </c>
      <c r="E24" s="199">
        <f>(I60+I61+I62+I63+I66)/1000</f>
        <v>116969.492</v>
      </c>
    </row>
    <row r="25" spans="2:10" x14ac:dyDescent="0.2">
      <c r="B25" s="176">
        <v>1082</v>
      </c>
      <c r="C25" s="177">
        <v>7005</v>
      </c>
      <c r="D25" s="177" t="s">
        <v>51</v>
      </c>
      <c r="E25" s="199">
        <v>0</v>
      </c>
    </row>
    <row r="26" spans="2:10" x14ac:dyDescent="0.2">
      <c r="B26" s="178">
        <v>1082</v>
      </c>
      <c r="C26" s="180">
        <v>6630</v>
      </c>
      <c r="D26" s="180" t="s">
        <v>90</v>
      </c>
      <c r="E26" s="201">
        <f>I65/1000</f>
        <v>507.83800000000002</v>
      </c>
    </row>
    <row r="27" spans="2:10" x14ac:dyDescent="0.2">
      <c r="B27" s="176">
        <v>1081</v>
      </c>
      <c r="C27" s="177">
        <v>8001</v>
      </c>
      <c r="D27" s="181" t="s">
        <v>96</v>
      </c>
      <c r="E27" s="202">
        <v>0</v>
      </c>
    </row>
    <row r="28" spans="2:10" x14ac:dyDescent="0.2">
      <c r="B28" s="176">
        <v>1081</v>
      </c>
      <c r="C28" s="177">
        <v>8003</v>
      </c>
      <c r="D28" s="177" t="s">
        <v>170</v>
      </c>
      <c r="E28" s="199">
        <v>0</v>
      </c>
    </row>
    <row r="29" spans="2:10" x14ac:dyDescent="0.2">
      <c r="E29" s="189">
        <f>SUM(E6:E28)</f>
        <v>234100.71799999999</v>
      </c>
    </row>
    <row r="30" spans="2:10" x14ac:dyDescent="0.2">
      <c r="E30" s="189"/>
    </row>
    <row r="31" spans="2:10" x14ac:dyDescent="0.2">
      <c r="E31" s="189"/>
      <c r="G31" s="164" t="s">
        <v>56</v>
      </c>
      <c r="H31" s="165" t="s">
        <v>123</v>
      </c>
      <c r="I31" s="166" t="s">
        <v>61</v>
      </c>
    </row>
    <row r="32" spans="2:10" x14ac:dyDescent="0.2">
      <c r="G32" s="167" t="s">
        <v>185</v>
      </c>
      <c r="H32" s="204">
        <v>1330</v>
      </c>
      <c r="I32" s="198">
        <f>1035824</f>
        <v>1035824</v>
      </c>
    </row>
    <row r="33" spans="7:12" x14ac:dyDescent="0.2">
      <c r="G33" s="168" t="s">
        <v>186</v>
      </c>
      <c r="H33" s="204">
        <v>1309</v>
      </c>
      <c r="I33" s="200">
        <f>6330809</f>
        <v>6330809</v>
      </c>
    </row>
    <row r="34" spans="7:12" x14ac:dyDescent="0.2">
      <c r="G34" s="168" t="s">
        <v>187</v>
      </c>
      <c r="H34" s="204">
        <v>2000</v>
      </c>
      <c r="I34" s="200">
        <f>595683</f>
        <v>595683</v>
      </c>
    </row>
    <row r="35" spans="7:12" x14ac:dyDescent="0.2">
      <c r="G35" s="168" t="s">
        <v>188</v>
      </c>
      <c r="H35" s="169">
        <f>2000</f>
        <v>2000</v>
      </c>
      <c r="I35" s="200">
        <f>3197848</f>
        <v>3197848</v>
      </c>
    </row>
    <row r="36" spans="7:12" x14ac:dyDescent="0.2">
      <c r="G36" s="168" t="s">
        <v>189</v>
      </c>
      <c r="H36" s="169">
        <v>1516</v>
      </c>
      <c r="I36" s="200">
        <f>5873767</f>
        <v>5873767</v>
      </c>
    </row>
    <row r="37" spans="7:12" x14ac:dyDescent="0.2">
      <c r="G37" s="168" t="s">
        <v>190</v>
      </c>
      <c r="H37" s="169">
        <v>1516</v>
      </c>
      <c r="I37" s="200">
        <f>11010734</f>
        <v>11010734</v>
      </c>
    </row>
    <row r="38" spans="7:12" x14ac:dyDescent="0.2">
      <c r="G38" s="168" t="s">
        <v>191</v>
      </c>
      <c r="H38" s="169">
        <f>1301</f>
        <v>1301</v>
      </c>
      <c r="I38" s="200">
        <f>7979909</f>
        <v>7979909</v>
      </c>
    </row>
    <row r="39" spans="7:12" x14ac:dyDescent="0.2">
      <c r="G39" s="164" t="s">
        <v>53</v>
      </c>
      <c r="H39" s="165"/>
      <c r="I39" s="205">
        <f>SUM(I32:I38)</f>
        <v>36024574</v>
      </c>
    </row>
    <row r="40" spans="7:12" x14ac:dyDescent="0.2">
      <c r="G40" s="170" t="s">
        <v>57</v>
      </c>
      <c r="H40" s="171"/>
      <c r="I40" s="206"/>
    </row>
    <row r="41" spans="7:12" x14ac:dyDescent="0.2">
      <c r="G41" s="168" t="s">
        <v>192</v>
      </c>
      <c r="H41" s="169">
        <v>3810</v>
      </c>
      <c r="I41" s="200">
        <f>16980058</f>
        <v>16980058</v>
      </c>
    </row>
    <row r="42" spans="7:12" x14ac:dyDescent="0.2">
      <c r="G42" s="164" t="s">
        <v>53</v>
      </c>
      <c r="H42" s="165"/>
      <c r="I42" s="205">
        <f>SUM(I41)</f>
        <v>16980058</v>
      </c>
    </row>
    <row r="43" spans="7:12" x14ac:dyDescent="0.2">
      <c r="G43" s="172" t="s">
        <v>55</v>
      </c>
      <c r="H43" s="173"/>
      <c r="I43" s="207"/>
    </row>
    <row r="44" spans="7:12" x14ac:dyDescent="0.2">
      <c r="G44" s="168" t="s">
        <v>193</v>
      </c>
      <c r="H44" s="169">
        <f>4202</f>
        <v>4202</v>
      </c>
      <c r="I44" s="200">
        <f>911232</f>
        <v>911232</v>
      </c>
      <c r="L44" s="189"/>
    </row>
    <row r="45" spans="7:12" x14ac:dyDescent="0.2">
      <c r="G45" s="168" t="s">
        <v>194</v>
      </c>
      <c r="H45" s="169">
        <f>5501</f>
        <v>5501</v>
      </c>
      <c r="I45" s="200">
        <f>1316651</f>
        <v>1316651</v>
      </c>
    </row>
    <row r="46" spans="7:12" x14ac:dyDescent="0.2">
      <c r="G46" s="168" t="s">
        <v>195</v>
      </c>
      <c r="H46" s="169">
        <f>5501</f>
        <v>5501</v>
      </c>
      <c r="I46" s="200">
        <f>871469</f>
        <v>871469</v>
      </c>
    </row>
    <row r="47" spans="7:12" x14ac:dyDescent="0.2">
      <c r="G47" s="168" t="s">
        <v>196</v>
      </c>
      <c r="H47" s="169">
        <f>4202</f>
        <v>4202</v>
      </c>
      <c r="I47" s="200">
        <f>5830257</f>
        <v>5830257</v>
      </c>
    </row>
    <row r="48" spans="7:12" x14ac:dyDescent="0.2">
      <c r="G48" s="168" t="s">
        <v>197</v>
      </c>
      <c r="H48" s="169">
        <f>6008</f>
        <v>6008</v>
      </c>
      <c r="I48" s="200">
        <f>3508504</f>
        <v>3508504</v>
      </c>
    </row>
    <row r="49" spans="7:9" x14ac:dyDescent="0.2">
      <c r="G49" s="168" t="s">
        <v>198</v>
      </c>
      <c r="H49" s="169">
        <f>5501</f>
        <v>5501</v>
      </c>
      <c r="I49" s="200">
        <f>193987</f>
        <v>193987</v>
      </c>
    </row>
    <row r="50" spans="7:9" x14ac:dyDescent="0.2">
      <c r="G50" s="168" t="s">
        <v>199</v>
      </c>
      <c r="H50" s="169">
        <f>6008</f>
        <v>6008</v>
      </c>
      <c r="I50" s="200">
        <f>555231</f>
        <v>555231</v>
      </c>
    </row>
    <row r="51" spans="7:9" x14ac:dyDescent="0.2">
      <c r="G51" s="168" t="s">
        <v>200</v>
      </c>
      <c r="H51" s="169">
        <f>4202</f>
        <v>4202</v>
      </c>
      <c r="I51" s="200">
        <f>1991702</f>
        <v>1991702</v>
      </c>
    </row>
    <row r="52" spans="7:9" x14ac:dyDescent="0.2">
      <c r="G52" s="168" t="s">
        <v>201</v>
      </c>
      <c r="H52" s="169">
        <f>5000</f>
        <v>5000</v>
      </c>
      <c r="I52" s="200">
        <f>895132</f>
        <v>895132</v>
      </c>
    </row>
    <row r="53" spans="7:9" x14ac:dyDescent="0.2">
      <c r="G53" s="168" t="s">
        <v>202</v>
      </c>
      <c r="H53" s="169">
        <f>4202</f>
        <v>4202</v>
      </c>
      <c r="I53" s="200">
        <f>21680506</f>
        <v>21680506</v>
      </c>
    </row>
    <row r="54" spans="7:9" x14ac:dyDescent="0.2">
      <c r="G54" s="168" t="s">
        <v>203</v>
      </c>
      <c r="H54" s="169">
        <f>4202</f>
        <v>4202</v>
      </c>
      <c r="I54" s="200">
        <f>415290</f>
        <v>415290</v>
      </c>
    </row>
    <row r="55" spans="7:9" x14ac:dyDescent="0.2">
      <c r="G55" s="168" t="s">
        <v>204</v>
      </c>
      <c r="H55" s="169">
        <f>4202</f>
        <v>4202</v>
      </c>
      <c r="I55" s="200">
        <f>2835754</f>
        <v>2835754</v>
      </c>
    </row>
    <row r="56" spans="7:9" x14ac:dyDescent="0.2">
      <c r="G56" s="168" t="s">
        <v>205</v>
      </c>
      <c r="H56" s="169">
        <f>4202</f>
        <v>4202</v>
      </c>
      <c r="I56" s="208">
        <f>15764814</f>
        <v>15764814</v>
      </c>
    </row>
    <row r="57" spans="7:9" x14ac:dyDescent="0.2">
      <c r="G57" s="168" t="s">
        <v>206</v>
      </c>
      <c r="H57" s="169">
        <f>4202</f>
        <v>4202</v>
      </c>
      <c r="I57" s="200">
        <f>4661344</f>
        <v>4661344</v>
      </c>
    </row>
    <row r="58" spans="7:9" x14ac:dyDescent="0.2">
      <c r="G58" s="164" t="s">
        <v>53</v>
      </c>
      <c r="H58" s="165"/>
      <c r="I58" s="205">
        <f>SUM(I44:I57)</f>
        <v>61431873</v>
      </c>
    </row>
    <row r="59" spans="7:9" x14ac:dyDescent="0.2">
      <c r="G59" s="172" t="s">
        <v>54</v>
      </c>
      <c r="H59" s="173"/>
      <c r="I59" s="207"/>
    </row>
    <row r="60" spans="7:9" x14ac:dyDescent="0.2">
      <c r="G60" s="168" t="s">
        <v>207</v>
      </c>
      <c r="H60" s="169">
        <f>6620</f>
        <v>6620</v>
      </c>
      <c r="I60" s="200">
        <f>1906774</f>
        <v>1906774</v>
      </c>
    </row>
    <row r="61" spans="7:9" x14ac:dyDescent="0.2">
      <c r="G61" s="168" t="s">
        <v>208</v>
      </c>
      <c r="H61" s="169">
        <v>6620</v>
      </c>
      <c r="I61" s="200">
        <f>1209447</f>
        <v>1209447</v>
      </c>
    </row>
    <row r="62" spans="7:9" x14ac:dyDescent="0.2">
      <c r="G62" s="168" t="s">
        <v>209</v>
      </c>
      <c r="H62" s="169">
        <v>6620</v>
      </c>
      <c r="I62" s="200">
        <f>97004470</f>
        <v>97004470</v>
      </c>
    </row>
    <row r="63" spans="7:9" x14ac:dyDescent="0.2">
      <c r="G63" s="168" t="s">
        <v>210</v>
      </c>
      <c r="H63" s="169">
        <v>6620</v>
      </c>
      <c r="I63" s="200">
        <f>641844</f>
        <v>641844</v>
      </c>
    </row>
    <row r="64" spans="7:9" x14ac:dyDescent="0.2">
      <c r="G64" s="168" t="s">
        <v>211</v>
      </c>
      <c r="H64" s="177">
        <v>6006</v>
      </c>
      <c r="I64" s="200">
        <f>2186883</f>
        <v>2186883</v>
      </c>
    </row>
    <row r="65" spans="7:9" x14ac:dyDescent="0.2">
      <c r="G65" s="168" t="s">
        <v>212</v>
      </c>
      <c r="H65" s="177">
        <v>6630</v>
      </c>
      <c r="I65" s="200">
        <f>507838</f>
        <v>507838</v>
      </c>
    </row>
    <row r="66" spans="7:9" x14ac:dyDescent="0.2">
      <c r="G66" s="168" t="s">
        <v>213</v>
      </c>
      <c r="H66" s="177">
        <v>6620</v>
      </c>
      <c r="I66" s="200">
        <f>16206957</f>
        <v>16206957</v>
      </c>
    </row>
    <row r="67" spans="7:9" x14ac:dyDescent="0.2">
      <c r="G67" s="164" t="s">
        <v>53</v>
      </c>
      <c r="H67" s="165"/>
      <c r="I67" s="205">
        <f>SUM(I60:I66)</f>
        <v>119664213</v>
      </c>
    </row>
    <row r="68" spans="7:9" x14ac:dyDescent="0.2">
      <c r="G68" s="172" t="s">
        <v>52</v>
      </c>
      <c r="H68" s="173"/>
      <c r="I68" s="207"/>
    </row>
    <row r="69" spans="7:9" x14ac:dyDescent="0.2">
      <c r="G69" s="164" t="s">
        <v>53</v>
      </c>
      <c r="H69" s="165"/>
      <c r="I69" s="205">
        <f>0</f>
        <v>0</v>
      </c>
    </row>
  </sheetData>
  <pageMargins left="0.7" right="0.7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Normal="100" workbookViewId="0"/>
  </sheetViews>
  <sheetFormatPr defaultColWidth="9.140625" defaultRowHeight="12" x14ac:dyDescent="0.2"/>
  <cols>
    <col min="1" max="1" width="8.5703125" style="1" customWidth="1"/>
    <col min="2" max="2" width="39.28515625" style="1" customWidth="1"/>
    <col min="3" max="9" width="10" style="2" customWidth="1"/>
    <col min="10" max="10" width="19.28515625" style="2" customWidth="1"/>
    <col min="11" max="11" width="5.85546875" style="1" customWidth="1"/>
    <col min="12" max="16384" width="9.140625" style="1"/>
  </cols>
  <sheetData>
    <row r="1" spans="1:12" s="24" customFormat="1" ht="15.75" x14ac:dyDescent="0.25">
      <c r="A1" s="72" t="s">
        <v>219</v>
      </c>
      <c r="C1" s="26"/>
      <c r="D1" s="26"/>
      <c r="E1" s="26"/>
      <c r="F1" s="38" t="s">
        <v>169</v>
      </c>
      <c r="G1" s="26"/>
      <c r="H1" s="26">
        <v>1.0129999999999999</v>
      </c>
      <c r="I1" s="26"/>
      <c r="J1" s="26"/>
    </row>
    <row r="2" spans="1:12" s="24" customFormat="1" ht="13.5" customHeight="1" x14ac:dyDescent="0.2">
      <c r="A2" s="31" t="s">
        <v>173</v>
      </c>
      <c r="C2" s="26"/>
      <c r="D2" s="26"/>
      <c r="E2" s="27"/>
      <c r="F2" s="27"/>
      <c r="G2" s="27"/>
      <c r="H2" s="28"/>
      <c r="I2" s="32"/>
      <c r="J2" s="28"/>
    </row>
    <row r="3" spans="1:12" s="24" customFormat="1" ht="13.5" customHeight="1" x14ac:dyDescent="0.2">
      <c r="A3" s="33" t="s">
        <v>36</v>
      </c>
      <c r="C3" s="26"/>
      <c r="D3" s="26"/>
      <c r="E3" s="27"/>
      <c r="F3" s="27"/>
      <c r="G3" s="27"/>
      <c r="H3" s="28"/>
      <c r="I3" s="27"/>
      <c r="J3" s="28"/>
    </row>
    <row r="4" spans="1:12" s="24" customFormat="1" ht="54" customHeight="1" x14ac:dyDescent="0.2">
      <c r="A4" s="73" t="s">
        <v>6</v>
      </c>
      <c r="B4" s="73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15</v>
      </c>
      <c r="L4" s="187"/>
    </row>
    <row r="5" spans="1:12" s="24" customFormat="1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76">
        <f>+'(skema1-7_2015 - 15pl)'!C5*'Skema1-7_2015'!$H$1</f>
        <v>6167848.4441810902</v>
      </c>
      <c r="D5" s="29">
        <f>+'(skema1-7_2015 - 15pl)'!D5*'Skema1-7_2015'!$H$1</f>
        <v>60613.28508115602</v>
      </c>
      <c r="E5" s="29">
        <f>+'(skema1-7_2015 - 15pl)'!E5*'Skema1-7_2015'!$H$1</f>
        <v>760626.06125976657</v>
      </c>
      <c r="F5" s="29">
        <f>+'(skema1-7_2015 - 15pl)'!F5*'Skema1-7_2015'!$H$1</f>
        <v>0</v>
      </c>
      <c r="G5" s="29">
        <f>+'(skema1-7_2015 - 15pl)'!G5*'Skema1-7_2015'!$H$1</f>
        <v>82351.758852789993</v>
      </c>
      <c r="H5" s="29">
        <f>+'(skema1-7_2015 - 15pl)'!H5*'Skema1-7_2015'!$H$1</f>
        <v>-1992567.1868105785</v>
      </c>
      <c r="I5" s="29">
        <f>+'(skema1-7_2015 - 15pl)'!I5*'Skema1-7_2015'!$H$1</f>
        <v>15121.457084271555</v>
      </c>
      <c r="J5" s="9">
        <f>+SUM(C5:E5) - SUM(F5:I5)-L5</f>
        <v>8884181.7613955289</v>
      </c>
      <c r="L5" s="16"/>
    </row>
    <row r="6" spans="1:12" s="24" customFormat="1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76">
        <f>+'(skema1-7_2015 - 15pl)'!C6*'Skema1-7_2015'!$H$1</f>
        <v>2389687.1780179096</v>
      </c>
      <c r="D6" s="29">
        <f>+'(skema1-7_2015 - 15pl)'!D6*'Skema1-7_2015'!$H$1</f>
        <v>15977.236236883289</v>
      </c>
      <c r="E6" s="29">
        <f>+'(skema1-7_2015 - 15pl)'!E6*'Skema1-7_2015'!$H$1</f>
        <v>230704.18390959245</v>
      </c>
      <c r="F6" s="29">
        <f>+'(skema1-7_2015 - 15pl)'!F6*'Skema1-7_2015'!$H$1</f>
        <v>0</v>
      </c>
      <c r="G6" s="29">
        <f>+'(skema1-7_2015 - 15pl)'!G6*'Skema1-7_2015'!$H$1</f>
        <v>2783.9205118699997</v>
      </c>
      <c r="H6" s="29">
        <f>+'(skema1-7_2015 - 15pl)'!H6*'Skema1-7_2015'!$H$1</f>
        <v>-43691.336135374717</v>
      </c>
      <c r="I6" s="29">
        <f>+'(skema1-7_2015 - 15pl)'!I6*'Skema1-7_2015'!$H$1</f>
        <v>-25893.793309799654</v>
      </c>
      <c r="J6" s="9">
        <f t="shared" ref="J6:J9" si="0">+SUM(C6:E6) - SUM(F6:I6)-L6</f>
        <v>2703169.8070976897</v>
      </c>
      <c r="L6" s="16"/>
    </row>
    <row r="7" spans="1:12" s="24" customFormat="1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76">
        <f>+'(skema1-7_2015 - 15pl)'!C7*'Skema1-7_2015'!$H$1</f>
        <v>2744614.2609873093</v>
      </c>
      <c r="D7" s="29">
        <f>+'(skema1-7_2015 - 15pl)'!D7*'Skema1-7_2015'!$H$1</f>
        <v>18301.521858252327</v>
      </c>
      <c r="E7" s="29">
        <f>+'(skema1-7_2015 - 15pl)'!E7*'Skema1-7_2015'!$H$1</f>
        <v>266727.69343084394</v>
      </c>
      <c r="F7" s="29">
        <f>+'(skema1-7_2015 - 15pl)'!F7*'Skema1-7_2015'!$H$1</f>
        <v>0</v>
      </c>
      <c r="G7" s="29">
        <f>+'(skema1-7_2015 - 15pl)'!G7*'Skema1-7_2015'!$H$1</f>
        <v>6847.3332332499986</v>
      </c>
      <c r="H7" s="29">
        <f>+'(skema1-7_2015 - 15pl)'!H7*'Skema1-7_2015'!$H$1</f>
        <v>-60593.806098494715</v>
      </c>
      <c r="I7" s="29">
        <f>+'(skema1-7_2015 - 15pl)'!I8*'Skema1-7_2015'!$H$1</f>
        <v>28987.548678967116</v>
      </c>
      <c r="J7" s="9">
        <f t="shared" si="0"/>
        <v>3054402.4004626828</v>
      </c>
      <c r="L7" s="16"/>
    </row>
    <row r="8" spans="1:12" s="24" customFormat="1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76">
        <f>+'(skema1-7_2015 - 15pl)'!C8*'Skema1-7_2015'!$H$1</f>
        <v>4359483.9424382998</v>
      </c>
      <c r="D8" s="29">
        <f>+'(skema1-7_2015 - 15pl)'!D8*'Skema1-7_2015'!$H$1</f>
        <v>32047.689492179801</v>
      </c>
      <c r="E8" s="29">
        <f>+'(skema1-7_2015 - 15pl)'!E8*'Skema1-7_2015'!$H$1</f>
        <v>426722.11955084122</v>
      </c>
      <c r="F8" s="29">
        <f>+'(skema1-7_2015 - 15pl)'!F8*'Skema1-7_2015'!$H$1</f>
        <v>0</v>
      </c>
      <c r="G8" s="29">
        <f>+'(skema1-7_2015 - 15pl)'!G8*'Skema1-7_2015'!$H$1</f>
        <v>21242.804607429993</v>
      </c>
      <c r="H8" s="29">
        <f>+'(skema1-7_2015 - 15pl)'!H8*'Skema1-7_2015'!$H$1</f>
        <v>-183258.36776719231</v>
      </c>
      <c r="I8" s="29">
        <f>+'(skema1-7_2015 - 15pl)'!I7*'Skema1-7_2015'!$H$1</f>
        <v>7432.4899867592167</v>
      </c>
      <c r="J8" s="9">
        <f t="shared" si="0"/>
        <v>4972836.824654324</v>
      </c>
      <c r="L8" s="16"/>
    </row>
    <row r="9" spans="1:12" s="24" customFormat="1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76">
        <f>+'(skema1-7_2015 - 15pl)'!C9*'Skema1-7_2015'!$H$1</f>
        <v>2330207.8657734399</v>
      </c>
      <c r="D9" s="29">
        <f>+'(skema1-7_2015 - 15pl)'!D9*'Skema1-7_2015'!$H$1</f>
        <v>14957.712937445449</v>
      </c>
      <c r="E9" s="29">
        <f>+'(skema1-7_2015 - 15pl)'!E9*'Skema1-7_2015'!$H$1</f>
        <v>218190.28098439463</v>
      </c>
      <c r="F9" s="29">
        <f>+'(skema1-7_2015 - 15pl)'!F9*'Skema1-7_2015'!$H$1</f>
        <v>0</v>
      </c>
      <c r="G9" s="29">
        <f>+'(skema1-7_2015 - 15pl)'!G9*'Skema1-7_2015'!$H$1</f>
        <v>10931.814241512</v>
      </c>
      <c r="H9" s="29">
        <f>+'(skema1-7_2015 - 15pl)'!H9*'Skema1-7_2015'!$H$1</f>
        <v>82746.113317623312</v>
      </c>
      <c r="I9" s="29">
        <f>+'(skema1-7_2015 - 15pl)'!I9*'Skema1-7_2015'!$H$1</f>
        <v>-17397.063485853942</v>
      </c>
      <c r="J9" s="9">
        <f t="shared" si="0"/>
        <v>2487074.9956219988</v>
      </c>
      <c r="L9" s="16"/>
    </row>
    <row r="10" spans="1:12" s="24" customFormat="1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76">
        <f>+'(skema1-7_2015 - 15pl)'!C10*'Skema1-7_2015'!$H$1</f>
        <v>402761.26245946996</v>
      </c>
      <c r="D10" s="29">
        <f>+'(skema1-7_2015 - 15pl)'!D10*'Skema1-7_2015'!$H$1</f>
        <v>2595.2556986507402</v>
      </c>
      <c r="E10" s="29">
        <f>+'(skema1-7_2015 - 15pl)'!E10*'Skema1-7_2015'!$H$1</f>
        <v>37521.857480295032</v>
      </c>
      <c r="F10" s="29">
        <f>+'(skema1-7_2015 - 15pl)'!F10*'Skema1-7_2015'!$H$1</f>
        <v>0</v>
      </c>
      <c r="G10" s="29">
        <f>+'(skema1-7_2015 - 15pl)'!G10*'Skema1-7_2015'!$H$1</f>
        <v>1029.8780995</v>
      </c>
      <c r="H10" s="29">
        <f>+'(skema1-7_2015 - 15pl)'!H10*'Skema1-7_2015'!$H$1</f>
        <v>30441.994834185112</v>
      </c>
      <c r="I10" s="29">
        <f>+'(skema1-7_2015 - 15pl)'!I10*'Skema1-7_2015'!$H$1</f>
        <v>6726.8288884850681</v>
      </c>
      <c r="J10" s="9">
        <f t="shared" ref="J10:J11" si="1">+SUM(C10:E10) - SUM(F10:I10)</f>
        <v>404679.67381624551</v>
      </c>
    </row>
    <row r="11" spans="1:12" s="24" customFormat="1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76">
        <f>+'(skema1-7_2015 - 15pl)'!C11*'Skema1-7_2015'!$H$1</f>
        <v>2977203.9609999997</v>
      </c>
      <c r="D11" s="29">
        <f>+'(skema1-7_2015 - 15pl)'!D11*'Skema1-7_2015'!$H$1</f>
        <v>264710.19359899993</v>
      </c>
      <c r="E11" s="29">
        <f>+'(skema1-7_2015 - 15pl)'!E11*'Skema1-7_2015'!$H$1</f>
        <v>139098.40835499999</v>
      </c>
      <c r="F11" s="29">
        <f>+'(skema1-7_2015 - 15pl)'!F11*'Skema1-7_2015'!$H$1</f>
        <v>0</v>
      </c>
      <c r="G11" s="29">
        <f>+'(skema1-7_2015 - 15pl)'!G11*'Skema1-7_2015'!$H$1</f>
        <v>16739.824999999997</v>
      </c>
      <c r="H11" s="29">
        <f>+'(skema1-7_2015 - 15pl)'!H11*'Skema1-7_2015'!$H$1</f>
        <v>93590.05699989869</v>
      </c>
      <c r="I11" s="29">
        <f>+'(skema1-7_2015 - 15pl)'!I11*'Skema1-7_2015'!$H$1</f>
        <v>23246.323999999997</v>
      </c>
      <c r="J11" s="9">
        <f t="shared" si="1"/>
        <v>3247436.356954101</v>
      </c>
    </row>
    <row r="12" spans="1:12" s="24" customFormat="1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76">
        <f>+'(skema1-7_2015 - 15pl)'!C12*'Skema1-7_2015'!$H$1</f>
        <v>1006155.9677893298</v>
      </c>
      <c r="D12" s="29">
        <f>+'(skema1-7_2015 - 15pl)'!D12*'Skema1-7_2015'!$H$1</f>
        <v>107969.80270400003</v>
      </c>
      <c r="E12" s="29">
        <f>+'(skema1-7_2015 - 15pl)'!E12*'Skema1-7_2015'!$H$1</f>
        <v>52587.556995999999</v>
      </c>
      <c r="F12" s="29">
        <f>+'(skema1-7_2015 - 15pl)'!F12*'Skema1-7_2015'!$H$1</f>
        <v>4813.2479446834741</v>
      </c>
      <c r="G12" s="29">
        <f>+'(skema1-7_2015 - 15pl)'!G12*'Skema1-7_2015'!$H$1</f>
        <v>9818.7582839173119</v>
      </c>
      <c r="H12" s="29">
        <f>+'(skema1-7_2015 - 15pl)'!H12*'Skema1-7_2015'!$H$1</f>
        <v>29956.294058460087</v>
      </c>
      <c r="I12" s="29">
        <f>+'(skema1-7_2015 - 15pl)'!I12*'Skema1-7_2015'!$H$1</f>
        <v>-28222.99979095289</v>
      </c>
      <c r="J12" s="9">
        <f>+SUM(C12:E12) - SUM(F12:I12)</f>
        <v>1150348.0269932221</v>
      </c>
      <c r="K12" s="34"/>
    </row>
    <row r="13" spans="1:12" s="24" customFormat="1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76">
        <f>+'(skema1-7_2015 - 15pl)'!C13*'Skema1-7_2015'!$H$1</f>
        <v>2362322.0779999997</v>
      </c>
      <c r="D13" s="29">
        <f>+'(skema1-7_2015 - 15pl)'!D13*'Skema1-7_2015'!$H$1</f>
        <v>253327.71229499995</v>
      </c>
      <c r="E13" s="29">
        <f>+'(skema1-7_2015 - 15pl)'!E13*'Skema1-7_2015'!$H$1</f>
        <v>113530.67025599998</v>
      </c>
      <c r="F13" s="29">
        <f>+'(skema1-7_2015 - 15pl)'!F13*'Skema1-7_2015'!$H$1</f>
        <v>1004.896</v>
      </c>
      <c r="G13" s="29">
        <f>+'(skema1-7_2015 - 15pl)'!G13*'Skema1-7_2015'!$H$1</f>
        <v>20839.435999999998</v>
      </c>
      <c r="H13" s="29">
        <f>+'(skema1-7_2015 - 15pl)'!H13*'Skema1-7_2015'!$H$1</f>
        <v>112169.48999999999</v>
      </c>
      <c r="I13" s="29">
        <f>+'(skema1-7_2015 - 15pl)'!I13*'Skema1-7_2015'!$H$1</f>
        <v>58873.533999999992</v>
      </c>
      <c r="J13" s="9">
        <f>+SUM(C13:E13) - SUM(F13:I13)</f>
        <v>2536293.1045509996</v>
      </c>
      <c r="K13" s="34"/>
    </row>
    <row r="14" spans="1:12" s="24" customFormat="1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76">
        <f>+'(skema1-7_2015 - 15pl)'!C14*'Skema1-7_2015'!$H$1</f>
        <v>717895.78511516005</v>
      </c>
      <c r="D14" s="29">
        <f>+'(skema1-7_2015 - 15pl)'!D14*'Skema1-7_2015'!$H$1</f>
        <v>91473.601165000015</v>
      </c>
      <c r="E14" s="29">
        <f>+'(skema1-7_2015 - 15pl)'!E14*'Skema1-7_2015'!$H$1</f>
        <v>37489.172883999992</v>
      </c>
      <c r="F14" s="29">
        <f>+'(skema1-7_2015 - 15pl)'!F14*'Skema1-7_2015'!$H$1</f>
        <v>0</v>
      </c>
      <c r="G14" s="29">
        <f>+'(skema1-7_2015 - 15pl)'!G14*'Skema1-7_2015'!$H$1</f>
        <v>4113.4591656473995</v>
      </c>
      <c r="H14" s="29">
        <f>+'(skema1-7_2015 - 15pl)'!H14*'Skema1-7_2015'!$H$1</f>
        <v>20863.63755009399</v>
      </c>
      <c r="I14" s="29">
        <f>+'(skema1-7_2015 - 15pl)'!I14*'Skema1-7_2015'!$H$1</f>
        <v>-53513.029743999992</v>
      </c>
      <c r="J14" s="9">
        <f>+SUM(C14:E14) - SUM(F14:I14)</f>
        <v>875394.49219241866</v>
      </c>
      <c r="K14" s="34"/>
    </row>
    <row r="15" spans="1:12" s="24" customFormat="1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76">
        <f>+'(skema1-7_2015 - 15pl)'!C15*'Skema1-7_2015'!$H$1</f>
        <v>6557489.3679999998</v>
      </c>
      <c r="D15" s="29">
        <f>+'(skema1-7_2015 - 15pl)'!D15*'Skema1-7_2015'!$H$1</f>
        <v>229297.61499999999</v>
      </c>
      <c r="E15" s="29">
        <f>+'(skema1-7_2015 - 15pl)'!E15*'Skema1-7_2015'!$H$1</f>
        <v>138135.71899999998</v>
      </c>
      <c r="F15" s="29">
        <f>+'(skema1-7_2015 - 15pl)'!F15*'Skema1-7_2015'!$H$1</f>
        <v>8177.9489999999996</v>
      </c>
      <c r="G15" s="29">
        <f>+'(skema1-7_2015 - 15pl)'!G15*'Skema1-7_2015'!$H$1</f>
        <v>15218.298999999999</v>
      </c>
      <c r="H15" s="29">
        <f>+'(skema1-7_2015 - 15pl)'!H15*'Skema1-7_2015'!$H$1</f>
        <v>191362.79099999997</v>
      </c>
      <c r="I15" s="29">
        <f>+'(skema1-7_2015 - 15pl)'!I15*'Skema1-7_2015'!$H$1</f>
        <v>-2043.2209999999998</v>
      </c>
      <c r="J15" s="9">
        <f>+SUM(C15:E15) - SUM(F15:I15)</f>
        <v>6712206.8839999996</v>
      </c>
      <c r="K15" s="34"/>
    </row>
    <row r="16" spans="1:12" s="24" customFormat="1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76">
        <f>+'(skema1-7_2015 - 15pl)'!C16*'Skema1-7_2015'!$H$1</f>
        <v>1761748.8199999998</v>
      </c>
      <c r="D16" s="29">
        <f>+'(skema1-7_2015 - 15pl)'!D16*'Skema1-7_2015'!$H$1</f>
        <v>59164.264999999992</v>
      </c>
      <c r="E16" s="29">
        <f>+'(skema1-7_2015 - 15pl)'!E16*'Skema1-7_2015'!$H$1</f>
        <v>35642.404999999999</v>
      </c>
      <c r="F16" s="29">
        <f>+'(skema1-7_2015 - 15pl)'!F16*'Skema1-7_2015'!$H$1</f>
        <v>2278.2369999999996</v>
      </c>
      <c r="G16" s="29">
        <f>+'(skema1-7_2015 - 15pl)'!G16*'Skema1-7_2015'!$H$1</f>
        <v>7162.9229999999989</v>
      </c>
      <c r="H16" s="29">
        <f>+'(skema1-7_2015 - 15pl)'!H16*'Skema1-7_2015'!$H$1</f>
        <v>104868.79899999998</v>
      </c>
      <c r="I16" s="29">
        <f>+'(skema1-7_2015 - 15pl)'!I16*'Skema1-7_2015'!$H$1</f>
        <v>2296.4709999999995</v>
      </c>
      <c r="J16" s="9">
        <f t="shared" ref="J16:J27" si="2">+SUM(C16:E16) - SUM(F16:I16)</f>
        <v>1739949.0599999998</v>
      </c>
    </row>
    <row r="17" spans="1:11" s="24" customFormat="1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76">
        <f>+'(skema1-7_2015 - 15pl)'!C17*'Skema1-7_2015'!$H$1</f>
        <v>1750244.1789999998</v>
      </c>
      <c r="D17" s="29">
        <f>+'(skema1-7_2015 - 15pl)'!D17*'Skema1-7_2015'!$H$1</f>
        <v>58573.685999999994</v>
      </c>
      <c r="E17" s="29">
        <f>+'(skema1-7_2015 - 15pl)'!E17*'Skema1-7_2015'!$H$1</f>
        <v>35286.841999999997</v>
      </c>
      <c r="F17" s="29">
        <f>+'(skema1-7_2015 - 15pl)'!F17*'Skema1-7_2015'!$H$1</f>
        <v>2577.0719999999997</v>
      </c>
      <c r="G17" s="29">
        <f>+'(skema1-7_2015 - 15pl)'!G17*'Skema1-7_2015'!$H$1</f>
        <v>3785.5809999999997</v>
      </c>
      <c r="H17" s="29">
        <f>+'(skema1-7_2015 - 15pl)'!H17*'Skema1-7_2015'!$H$1</f>
        <v>64529.11299999999</v>
      </c>
      <c r="I17" s="29">
        <f>+'(skema1-7_2015 - 15pl)'!I17*'Skema1-7_2015'!$H$1</f>
        <v>208.67799999999997</v>
      </c>
      <c r="J17" s="9">
        <f t="shared" si="2"/>
        <v>1773004.2629999998</v>
      </c>
    </row>
    <row r="18" spans="1:11" s="24" customFormat="1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76">
        <f>+'(skema1-7_2015 - 15pl)'!C18*'Skema1-7_2015'!$H$1</f>
        <v>1433572.2749999999</v>
      </c>
      <c r="D18" s="29">
        <f>+'(skema1-7_2015 - 15pl)'!D18*'Skema1-7_2015'!$H$1</f>
        <v>48459.893999999993</v>
      </c>
      <c r="E18" s="29">
        <f>+'(skema1-7_2015 - 15pl)'!E18*'Skema1-7_2015'!$H$1</f>
        <v>29193.646999999997</v>
      </c>
      <c r="F18" s="29">
        <f>+'(skema1-7_2015 - 15pl)'!F18*'Skema1-7_2015'!$H$1</f>
        <v>15736.954999999998</v>
      </c>
      <c r="G18" s="29">
        <f>+'(skema1-7_2015 - 15pl)'!G18*'Skema1-7_2015'!$H$1</f>
        <v>1075.8059999999998</v>
      </c>
      <c r="H18" s="29">
        <f>+'(skema1-7_2015 - 15pl)'!H18*'Skema1-7_2015'!$H$1</f>
        <v>45827.106999999996</v>
      </c>
      <c r="I18" s="29">
        <f>+'(skema1-7_2015 - 15pl)'!I18*'Skema1-7_2015'!$H$1</f>
        <v>-15906.125999999998</v>
      </c>
      <c r="J18" s="9">
        <f t="shared" si="2"/>
        <v>1464492.074</v>
      </c>
    </row>
    <row r="19" spans="1:11" s="24" customFormat="1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76">
        <f>+'(skema1-7_2015 - 15pl)'!C19*'Skema1-7_2015'!$H$1</f>
        <v>1744965.4359999998</v>
      </c>
      <c r="D19" s="29">
        <f>+'(skema1-7_2015 - 15pl)'!D19*'Skema1-7_2015'!$H$1</f>
        <v>59229.096999999994</v>
      </c>
      <c r="E19" s="29">
        <f>+'(skema1-7_2015 - 15pl)'!E19*'Skema1-7_2015'!$H$1</f>
        <v>35680.898999999998</v>
      </c>
      <c r="F19" s="29">
        <f>+'(skema1-7_2015 - 15pl)'!F19*'Skema1-7_2015'!$H$1</f>
        <v>9407.7309999999998</v>
      </c>
      <c r="G19" s="29">
        <f>+'(skema1-7_2015 - 15pl)'!G19*'Skema1-7_2015'!$H$1</f>
        <v>5331.4189999999999</v>
      </c>
      <c r="H19" s="29">
        <f>+'(skema1-7_2015 - 15pl)'!H19*'Skema1-7_2015'!$H$1</f>
        <v>52009.445999999996</v>
      </c>
      <c r="I19" s="29">
        <f>+'(skema1-7_2015 - 15pl)'!I19*'Skema1-7_2015'!$H$1</f>
        <v>15445.210999999999</v>
      </c>
      <c r="J19" s="9">
        <f t="shared" si="2"/>
        <v>1757681.6249999998</v>
      </c>
    </row>
    <row r="20" spans="1:11" s="24" customFormat="1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76">
        <f>+'(skema1-7_2015 - 15pl)'!C20*'Skema1-7_2015'!$H$1</f>
        <v>76944.440999999992</v>
      </c>
      <c r="D20" s="29">
        <f>+'(skema1-7_2015 - 15pl)'!D20*'Skema1-7_2015'!$H$1</f>
        <v>3215.2619999999997</v>
      </c>
      <c r="E20" s="29">
        <f>+'(skema1-7_2015 - 15pl)'!E20*'Skema1-7_2015'!$H$1</f>
        <v>1936.8559999999998</v>
      </c>
      <c r="F20" s="29">
        <f>+'(skema1-7_2015 - 15pl)'!F20*'Skema1-7_2015'!$H$1</f>
        <v>0</v>
      </c>
      <c r="G20" s="29">
        <f>+'(skema1-7_2015 - 15pl)'!G20*'Skema1-7_2015'!$H$1</f>
        <v>0</v>
      </c>
      <c r="H20" s="29">
        <f>+'(skema1-7_2015 - 15pl)'!H20*'Skema1-7_2015'!$H$1</f>
        <v>1979.4019999999998</v>
      </c>
      <c r="I20" s="29">
        <f>+'(skema1-7_2015 - 15pl)'!I20*'Skema1-7_2015'!$H$1</f>
        <v>-1.0129999999999999</v>
      </c>
      <c r="J20" s="9">
        <f t="shared" si="2"/>
        <v>80118.17</v>
      </c>
    </row>
    <row r="21" spans="1:11" s="24" customFormat="1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76">
        <f>+'(skema1-7_2015 - 15pl)'!C21*'Skema1-7_2015'!$H$1</f>
        <v>959163.10199999996</v>
      </c>
      <c r="D21" s="29">
        <f>+'(skema1-7_2015 - 15pl)'!D21*'Skema1-7_2015'!$H$1</f>
        <v>37354.374999999993</v>
      </c>
      <c r="E21" s="29">
        <f>+'(skema1-7_2015 - 15pl)'!E21*'Skema1-7_2015'!$H$1</f>
        <v>20532.496999999999</v>
      </c>
      <c r="F21" s="29">
        <f>+'(skema1-7_2015 - 15pl)'!F21*'Skema1-7_2015'!$H$1</f>
        <v>914.73899999999992</v>
      </c>
      <c r="G21" s="29">
        <f>+'(skema1-7_2015 - 15pl)'!G21*'Skema1-7_2015'!$H$1</f>
        <v>135.74199999999999</v>
      </c>
      <c r="H21" s="29">
        <f>+'(skema1-7_2015 - 15pl)'!H21*'Skema1-7_2015'!$H$1</f>
        <v>45257.800999999992</v>
      </c>
      <c r="I21" s="29">
        <f>+'(skema1-7_2015 - 15pl)'!I21*'Skema1-7_2015'!$H$1</f>
        <v>-23485.391999999996</v>
      </c>
      <c r="J21" s="9">
        <f t="shared" si="2"/>
        <v>994227.08399999992</v>
      </c>
    </row>
    <row r="22" spans="1:11" s="24" customFormat="1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76">
        <f>+'(skema1-7_2015 - 15pl)'!C22*'Skema1-7_2015'!$H$1</f>
        <v>2244925.5079999999</v>
      </c>
      <c r="D22" s="29">
        <f>+'(skema1-7_2015 - 15pl)'!D22*'Skema1-7_2015'!$H$1</f>
        <v>86794.852999999988</v>
      </c>
      <c r="E22" s="29">
        <f>+'(skema1-7_2015 - 15pl)'!E22*'Skema1-7_2015'!$H$1</f>
        <v>48690.857999999993</v>
      </c>
      <c r="F22" s="29">
        <f>+'(skema1-7_2015 - 15pl)'!F22*'Skema1-7_2015'!$H$1</f>
        <v>0</v>
      </c>
      <c r="G22" s="29">
        <f>+'(skema1-7_2015 - 15pl)'!G22*'Skema1-7_2015'!$H$1</f>
        <v>12188.415999999999</v>
      </c>
      <c r="H22" s="29">
        <f>+'(skema1-7_2015 - 15pl)'!H22*'Skema1-7_2015'!$H$1</f>
        <v>122571.98699999999</v>
      </c>
      <c r="I22" s="29">
        <f>+'(skema1-7_2015 - 15pl)'!I22*'Skema1-7_2015'!$H$1</f>
        <v>-14837.410999999998</v>
      </c>
      <c r="J22" s="9">
        <f t="shared" si="2"/>
        <v>2260488.227</v>
      </c>
    </row>
    <row r="23" spans="1:11" s="24" customFormat="1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76">
        <f>+'(skema1-7_2015 - 15pl)'!C23*'Skema1-7_2015'!$H$1</f>
        <v>6329446.8599999994</v>
      </c>
      <c r="D23" s="29">
        <f>+'(skema1-7_2015 - 15pl)'!D23*'Skema1-7_2015'!$H$1</f>
        <v>334323.42899999995</v>
      </c>
      <c r="E23" s="29">
        <f>+'(skema1-7_2015 - 15pl)'!E23*'Skema1-7_2015'!$H$1</f>
        <v>150569.28099999999</v>
      </c>
      <c r="F23" s="29">
        <f>+'(skema1-7_2015 - 15pl)'!F23*'Skema1-7_2015'!$H$1</f>
        <v>0</v>
      </c>
      <c r="G23" s="29">
        <f>+'(skema1-7_2015 - 15pl)'!G23*'Skema1-7_2015'!$H$1</f>
        <v>25075.801999999996</v>
      </c>
      <c r="H23" s="29">
        <f>+'(skema1-7_2015 - 15pl)'!H23*'Skema1-7_2015'!$H$1</f>
        <v>-413926.99499999994</v>
      </c>
      <c r="I23" s="29">
        <f>+'(skema1-7_2015 - 15pl)'!I23*'Skema1-7_2015'!$H$1</f>
        <v>53458.035999999993</v>
      </c>
      <c r="J23" s="9">
        <f t="shared" si="2"/>
        <v>7149732.726999999</v>
      </c>
    </row>
    <row r="24" spans="1:11" s="24" customFormat="1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76">
        <f>+'(skema1-7_2015 - 15pl)'!C24*'Skema1-7_2015'!$H$1</f>
        <v>1094337.8219999999</v>
      </c>
      <c r="D24" s="29">
        <f>+'(skema1-7_2015 - 15pl)'!D24*'Skema1-7_2015'!$H$1</f>
        <v>41541.103999999999</v>
      </c>
      <c r="E24" s="29">
        <f>+'(skema1-7_2015 - 15pl)'!E24*'Skema1-7_2015'!$H$1</f>
        <v>23304.064999999999</v>
      </c>
      <c r="F24" s="29">
        <f>+'(skema1-7_2015 - 15pl)'!F24*'Skema1-7_2015'!$H$1</f>
        <v>6181.3259999999991</v>
      </c>
      <c r="G24" s="29">
        <f>+'(skema1-7_2015 - 15pl)'!G24*'Skema1-7_2015'!$H$1</f>
        <v>340.36799999999994</v>
      </c>
      <c r="H24" s="29">
        <f>+'(skema1-7_2015 - 15pl)'!H24*'Skema1-7_2015'!$H$1</f>
        <v>54099.264999999992</v>
      </c>
      <c r="I24" s="29">
        <f>+'(skema1-7_2015 - 15pl)'!I24*'Skema1-7_2015'!$H$1</f>
        <v>-14049.296999999999</v>
      </c>
      <c r="J24" s="9">
        <f t="shared" si="2"/>
        <v>1112611.3289999999</v>
      </c>
    </row>
    <row r="25" spans="1:11" s="24" customFormat="1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76">
        <f>+'(skema1-7_2015 - 15pl)'!C25*'Skema1-7_2015'!$H$1</f>
        <v>2401998.2489999998</v>
      </c>
      <c r="D25" s="29">
        <f>+'(skema1-7_2015 - 15pl)'!D25*'Skema1-7_2015'!$H$1</f>
        <v>99453.300999999992</v>
      </c>
      <c r="E25" s="29">
        <f>+'(skema1-7_2015 - 15pl)'!E25*'Skema1-7_2015'!$H$1</f>
        <v>55492.139999999992</v>
      </c>
      <c r="F25" s="29">
        <f>+'(skema1-7_2015 - 15pl)'!F25*'Skema1-7_2015'!$H$1</f>
        <v>0</v>
      </c>
      <c r="G25" s="29">
        <f>+'(skema1-7_2015 - 15pl)'!G25*'Skema1-7_2015'!$H$1</f>
        <v>4286.0029999999997</v>
      </c>
      <c r="H25" s="29">
        <f>+'(skema1-7_2015 - 15pl)'!H25*'Skema1-7_2015'!$H$1</f>
        <v>-33097.748999999996</v>
      </c>
      <c r="I25" s="29">
        <f>+'(skema1-7_2015 - 15pl)'!I25*'Skema1-7_2015'!$H$1</f>
        <v>-5155.1569999999992</v>
      </c>
      <c r="J25" s="9">
        <f t="shared" si="2"/>
        <v>2590910.5929999999</v>
      </c>
    </row>
    <row r="26" spans="1:11" s="24" customFormat="1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76">
        <f>+'(skema1-7_2015 - 15pl)'!C26*'Skema1-7_2015'!$H$1</f>
        <v>5026074.0590286003</v>
      </c>
      <c r="D26" s="29">
        <f>+'(skema1-7_2015 - 15pl)'!D26*'Skema1-7_2015'!$H$1</f>
        <v>204917.85866696318</v>
      </c>
      <c r="E26" s="29">
        <f>+'(skema1-7_2015 - 15pl)'!E26*'Skema1-7_2015'!$H$1</f>
        <v>99844.933607606596</v>
      </c>
      <c r="F26" s="29">
        <f>+'(skema1-7_2015 - 15pl)'!F26*'Skema1-7_2015'!$H$1</f>
        <v>2594.9433459999996</v>
      </c>
      <c r="G26" s="29">
        <f>+'(skema1-7_2015 - 15pl)'!G26*'Skema1-7_2015'!$H$1</f>
        <v>75256.143707339841</v>
      </c>
      <c r="H26" s="29">
        <f>+'(skema1-7_2015 - 15pl)'!H26*'Skema1-7_2015'!$H$1</f>
        <v>893396.00999646995</v>
      </c>
      <c r="I26" s="29">
        <f>+'(skema1-7_2015 - 15pl)'!I26*'Skema1-7_2015'!$H$1</f>
        <v>-104291.24312799999</v>
      </c>
      <c r="J26" s="9">
        <f t="shared" si="2"/>
        <v>4463880.9973813593</v>
      </c>
    </row>
    <row r="27" spans="1:11" s="24" customFormat="1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76">
        <f>+'(skema1-7_2015 - 15pl)'!C27*'Skema1-7_2015'!$H$1</f>
        <v>1539671.0770973801</v>
      </c>
      <c r="D27" s="29">
        <f>+'(skema1-7_2015 - 15pl)'!D27*'Skema1-7_2015'!$H$1</f>
        <v>87842.039600833101</v>
      </c>
      <c r="E27" s="29">
        <f>+'(skema1-7_2015 - 15pl)'!E27*'Skema1-7_2015'!$H$1</f>
        <v>45066.923979020539</v>
      </c>
      <c r="F27" s="29">
        <f>+'(skema1-7_2015 - 15pl)'!F27*'Skema1-7_2015'!$H$1</f>
        <v>3785.5728959999992</v>
      </c>
      <c r="G27" s="29">
        <f>+'(skema1-7_2015 - 15pl)'!G27*'Skema1-7_2015'!$H$1</f>
        <v>27926.234417064737</v>
      </c>
      <c r="H27" s="29">
        <f>+'(skema1-7_2015 - 15pl)'!H27*'Skema1-7_2015'!$H$1</f>
        <v>143162.70635733998</v>
      </c>
      <c r="I27" s="29">
        <f>+'(skema1-7_2015 - 15pl)'!I27*'Skema1-7_2015'!$H$1</f>
        <v>104291.24414099997</v>
      </c>
      <c r="J27" s="9">
        <f t="shared" si="2"/>
        <v>1393414.2828658288</v>
      </c>
    </row>
    <row r="28" spans="1:11" s="24" customFormat="1" ht="13.5" customHeight="1" x14ac:dyDescent="0.2">
      <c r="A28" s="13"/>
      <c r="B28" s="13" t="s">
        <v>14</v>
      </c>
      <c r="C28" s="14">
        <f t="shared" ref="C28:J28" si="3">SUM(C5:C27)</f>
        <v>58378761.941887975</v>
      </c>
      <c r="D28" s="14">
        <f t="shared" si="3"/>
        <v>2212140.7903353642</v>
      </c>
      <c r="E28" s="14">
        <f t="shared" si="3"/>
        <v>3002575.0716933613</v>
      </c>
      <c r="F28" s="14">
        <f t="shared" si="3"/>
        <v>57472.669186683474</v>
      </c>
      <c r="G28" s="14">
        <f t="shared" si="3"/>
        <v>354481.72512032127</v>
      </c>
      <c r="H28" s="14">
        <f t="shared" si="3"/>
        <v>-638303.42669756943</v>
      </c>
      <c r="I28" s="14">
        <f t="shared" si="3"/>
        <v>11292.076320876455</v>
      </c>
      <c r="J28" s="14">
        <f t="shared" si="3"/>
        <v>63808534.759986401</v>
      </c>
      <c r="K28" s="35"/>
    </row>
    <row r="29" spans="1:11" s="24" customFormat="1" ht="13.5" customHeight="1" x14ac:dyDescent="0.2">
      <c r="A29" s="37"/>
      <c r="B29" s="15"/>
      <c r="C29" s="16"/>
      <c r="D29" s="16"/>
      <c r="E29" s="16"/>
      <c r="F29" s="16"/>
      <c r="G29" s="16"/>
      <c r="H29" s="16"/>
      <c r="I29" s="16"/>
      <c r="J29" s="16"/>
    </row>
    <row r="30" spans="1:11" s="24" customFormat="1" ht="13.5" customHeight="1" x14ac:dyDescent="0.2">
      <c r="A30" s="37"/>
      <c r="B30" s="17" t="s">
        <v>28</v>
      </c>
      <c r="C30" s="18">
        <f t="shared" ref="C30:J30" si="4">SUM(C5:C10)</f>
        <v>18394602.953857519</v>
      </c>
      <c r="D30" s="18">
        <f t="shared" si="4"/>
        <v>144492.7013045676</v>
      </c>
      <c r="E30" s="18">
        <f t="shared" si="4"/>
        <v>1940492.1966157339</v>
      </c>
      <c r="F30" s="18">
        <f t="shared" si="4"/>
        <v>0</v>
      </c>
      <c r="G30" s="18">
        <f t="shared" si="4"/>
        <v>125187.50954635198</v>
      </c>
      <c r="H30" s="18">
        <f t="shared" si="4"/>
        <v>-2166922.5886598318</v>
      </c>
      <c r="I30" s="18">
        <f t="shared" si="4"/>
        <v>14977.467842829361</v>
      </c>
      <c r="J30" s="6">
        <f t="shared" si="4"/>
        <v>22506345.463048469</v>
      </c>
    </row>
    <row r="31" spans="1:11" s="24" customFormat="1" ht="13.5" customHeight="1" x14ac:dyDescent="0.2">
      <c r="A31" s="37"/>
      <c r="B31" s="19" t="s">
        <v>29</v>
      </c>
      <c r="C31" s="157">
        <f t="shared" ref="C31:J31" si="5">SUM(C11:C14)</f>
        <v>7063577.7919044895</v>
      </c>
      <c r="D31" s="157">
        <f t="shared" si="5"/>
        <v>717481.30976299988</v>
      </c>
      <c r="E31" s="157">
        <f t="shared" si="5"/>
        <v>342705.80849099997</v>
      </c>
      <c r="F31" s="157">
        <f t="shared" si="5"/>
        <v>5818.1439446834738</v>
      </c>
      <c r="G31" s="157">
        <f t="shared" si="5"/>
        <v>51511.478449564711</v>
      </c>
      <c r="H31" s="157">
        <f t="shared" si="5"/>
        <v>256579.47860845277</v>
      </c>
      <c r="I31" s="157">
        <f t="shared" si="5"/>
        <v>383.82846504711051</v>
      </c>
      <c r="J31" s="158">
        <f t="shared" si="5"/>
        <v>7809471.980690741</v>
      </c>
    </row>
    <row r="32" spans="1:11" s="24" customFormat="1" ht="13.5" customHeight="1" x14ac:dyDescent="0.2">
      <c r="A32" s="37"/>
      <c r="B32" s="19" t="s">
        <v>30</v>
      </c>
      <c r="C32" s="5">
        <f t="shared" ref="C32:J32" si="6">SUM(C15:C20)</f>
        <v>13324964.518999998</v>
      </c>
      <c r="D32" s="5">
        <f t="shared" si="6"/>
        <v>457939.81899999996</v>
      </c>
      <c r="E32" s="5">
        <f t="shared" si="6"/>
        <v>275876.36800000002</v>
      </c>
      <c r="F32" s="5">
        <f t="shared" si="6"/>
        <v>38177.943999999996</v>
      </c>
      <c r="G32" s="5">
        <f t="shared" si="6"/>
        <v>32574.027999999998</v>
      </c>
      <c r="H32" s="5">
        <f t="shared" si="6"/>
        <v>460576.658</v>
      </c>
      <c r="I32" s="5">
        <f t="shared" si="6"/>
        <v>8.2955864399991697E-13</v>
      </c>
      <c r="J32" s="8">
        <f t="shared" si="6"/>
        <v>13527452.075999999</v>
      </c>
    </row>
    <row r="33" spans="1:10" s="24" customFormat="1" ht="13.5" customHeight="1" x14ac:dyDescent="0.2">
      <c r="A33" s="37"/>
      <c r="B33" s="19" t="s">
        <v>31</v>
      </c>
      <c r="C33" s="5">
        <f t="shared" ref="C33:J33" si="7">SUM(C21:C25)</f>
        <v>13029871.540999999</v>
      </c>
      <c r="D33" s="5">
        <f t="shared" si="7"/>
        <v>599467.06199999992</v>
      </c>
      <c r="E33" s="5">
        <f t="shared" si="7"/>
        <v>298588.84100000001</v>
      </c>
      <c r="F33" s="5">
        <f t="shared" si="7"/>
        <v>7096.0649999999987</v>
      </c>
      <c r="G33" s="5">
        <f t="shared" si="7"/>
        <v>42026.330999999991</v>
      </c>
      <c r="H33" s="5">
        <f t="shared" si="7"/>
        <v>-225095.69099999993</v>
      </c>
      <c r="I33" s="5">
        <f t="shared" si="7"/>
        <v>-4069.2209999999977</v>
      </c>
      <c r="J33" s="8">
        <f t="shared" si="7"/>
        <v>14107969.959999999</v>
      </c>
    </row>
    <row r="34" spans="1:10" s="24" customFormat="1" ht="13.5" customHeight="1" x14ac:dyDescent="0.2">
      <c r="A34" s="38"/>
      <c r="B34" s="20" t="s">
        <v>32</v>
      </c>
      <c r="C34" s="10">
        <f t="shared" ref="C34:J34" si="8">+SUM(C26:C27)</f>
        <v>6565745.1361259799</v>
      </c>
      <c r="D34" s="10">
        <f t="shared" si="8"/>
        <v>292759.89826779626</v>
      </c>
      <c r="E34" s="10">
        <f t="shared" si="8"/>
        <v>144911.85758662713</v>
      </c>
      <c r="F34" s="10">
        <f t="shared" si="8"/>
        <v>6380.5162419999988</v>
      </c>
      <c r="G34" s="10">
        <f t="shared" si="8"/>
        <v>103182.37812440458</v>
      </c>
      <c r="H34" s="10">
        <f t="shared" si="8"/>
        <v>1036558.7163538099</v>
      </c>
      <c r="I34" s="10">
        <f t="shared" si="8"/>
        <v>1.0129999864147976E-3</v>
      </c>
      <c r="J34" s="21">
        <f t="shared" si="8"/>
        <v>5857295.2802471882</v>
      </c>
    </row>
    <row r="35" spans="1:10" s="24" customFormat="1" ht="13.5" customHeight="1" x14ac:dyDescent="0.2">
      <c r="A35" s="38"/>
      <c r="B35" s="13" t="s">
        <v>14</v>
      </c>
      <c r="C35" s="18">
        <f>+SUM(C30:C34)</f>
        <v>58378761.94188799</v>
      </c>
      <c r="D35" s="22">
        <f t="shared" ref="D35:J35" si="9">+SUM(D30:D34)</f>
        <v>2212140.7903353637</v>
      </c>
      <c r="E35" s="22">
        <f t="shared" si="9"/>
        <v>3002575.0716933608</v>
      </c>
      <c r="F35" s="22">
        <f t="shared" si="9"/>
        <v>57472.669186683474</v>
      </c>
      <c r="G35" s="22">
        <f t="shared" si="9"/>
        <v>354481.72512032127</v>
      </c>
      <c r="H35" s="22">
        <f t="shared" si="9"/>
        <v>-638303.42669756897</v>
      </c>
      <c r="I35" s="22">
        <f t="shared" si="9"/>
        <v>11292.07632087646</v>
      </c>
      <c r="J35" s="23">
        <f t="shared" si="9"/>
        <v>63808534.759986401</v>
      </c>
    </row>
    <row r="36" spans="1:10" s="24" customFormat="1" ht="13.5" customHeight="1" x14ac:dyDescent="0.2">
      <c r="B36" s="78"/>
      <c r="C36" s="25"/>
      <c r="D36" s="26"/>
      <c r="E36" s="26"/>
      <c r="F36" s="26"/>
      <c r="G36" s="26"/>
      <c r="H36" s="26"/>
      <c r="I36" s="26"/>
      <c r="J36" s="26"/>
    </row>
    <row r="37" spans="1:10" s="24" customFormat="1" ht="13.5" customHeight="1" x14ac:dyDescent="0.2">
      <c r="B37" s="78"/>
      <c r="C37" s="36"/>
      <c r="D37" s="36"/>
      <c r="E37" s="36"/>
      <c r="F37" s="36"/>
      <c r="G37" s="36"/>
      <c r="H37" s="36"/>
      <c r="I37" s="36"/>
    </row>
    <row r="38" spans="1:10" s="24" customFormat="1" ht="13.5" customHeight="1" x14ac:dyDescent="0.2">
      <c r="B38" s="36"/>
      <c r="C38" s="36"/>
      <c r="D38" s="36"/>
      <c r="E38" s="36"/>
      <c r="F38" s="36"/>
      <c r="G38" s="36"/>
      <c r="H38" s="36"/>
      <c r="I38" s="36"/>
      <c r="J38" s="36"/>
    </row>
    <row r="39" spans="1:10" s="24" customFormat="1" ht="13.5" customHeight="1" x14ac:dyDescent="0.2">
      <c r="C39" s="36"/>
      <c r="D39" s="36"/>
      <c r="E39" s="36"/>
      <c r="F39" s="36"/>
      <c r="G39" s="36"/>
      <c r="H39" s="36"/>
      <c r="I39" s="36"/>
      <c r="J39" s="36"/>
    </row>
    <row r="40" spans="1:10" s="24" customFormat="1" ht="13.5" customHeight="1" x14ac:dyDescent="0.2"/>
    <row r="41" spans="1:10" s="24" customFormat="1" ht="13.5" customHeight="1" x14ac:dyDescent="0.2">
      <c r="C41" s="26"/>
      <c r="D41" s="26"/>
      <c r="E41" s="26"/>
      <c r="F41" s="26"/>
      <c r="G41" s="26"/>
      <c r="H41" s="26"/>
      <c r="I41" s="26"/>
      <c r="J41" s="26"/>
    </row>
    <row r="42" spans="1:10" s="24" customFormat="1" ht="31.5" customHeight="1" x14ac:dyDescent="0.2">
      <c r="C42" s="26"/>
      <c r="D42" s="26"/>
      <c r="E42" s="26"/>
      <c r="F42" s="26"/>
      <c r="G42" s="26"/>
      <c r="H42" s="26"/>
      <c r="I42" s="26"/>
      <c r="J42" s="26"/>
    </row>
    <row r="43" spans="1:10" s="24" customFormat="1" ht="13.5" customHeight="1" x14ac:dyDescent="0.2">
      <c r="C43" s="26"/>
      <c r="D43" s="26"/>
      <c r="E43" s="26"/>
      <c r="F43" s="26"/>
      <c r="G43" s="26"/>
      <c r="H43" s="26"/>
      <c r="I43" s="26"/>
      <c r="J43" s="26"/>
    </row>
    <row r="44" spans="1:10" s="24" customFormat="1" x14ac:dyDescent="0.2">
      <c r="C44" s="26"/>
      <c r="D44" s="26"/>
      <c r="E44" s="26"/>
      <c r="F44" s="26"/>
      <c r="G44" s="26"/>
      <c r="H44" s="26"/>
      <c r="I44" s="26"/>
      <c r="J44" s="26"/>
    </row>
    <row r="45" spans="1:10" s="24" customFormat="1" x14ac:dyDescent="0.2">
      <c r="C45" s="26"/>
      <c r="D45" s="26"/>
      <c r="E45" s="26"/>
      <c r="F45" s="26"/>
      <c r="G45" s="26"/>
      <c r="H45" s="26"/>
      <c r="I45" s="26"/>
      <c r="J45" s="26"/>
    </row>
    <row r="46" spans="1:10" s="24" customFormat="1" x14ac:dyDescent="0.2">
      <c r="C46" s="26"/>
      <c r="D46" s="26"/>
      <c r="E46" s="26"/>
      <c r="F46" s="26"/>
      <c r="G46" s="26"/>
      <c r="H46" s="26"/>
      <c r="I46" s="26"/>
      <c r="J46" s="26"/>
    </row>
    <row r="47" spans="1:10" s="24" customFormat="1" x14ac:dyDescent="0.2">
      <c r="C47" s="26"/>
      <c r="D47" s="26"/>
      <c r="E47" s="26"/>
      <c r="F47" s="26"/>
      <c r="G47" s="26"/>
      <c r="H47" s="26"/>
      <c r="I47" s="26"/>
      <c r="J47" s="26"/>
    </row>
    <row r="48" spans="1:10" s="24" customFormat="1" x14ac:dyDescent="0.2">
      <c r="C48" s="26"/>
      <c r="D48" s="26"/>
      <c r="E48" s="26"/>
      <c r="F48" s="26"/>
      <c r="G48" s="26"/>
      <c r="H48" s="26"/>
      <c r="I48" s="26"/>
      <c r="J48" s="26"/>
    </row>
    <row r="49" spans="3:10" s="24" customFormat="1" x14ac:dyDescent="0.2">
      <c r="C49" s="26"/>
      <c r="D49" s="26"/>
      <c r="E49" s="26"/>
      <c r="F49" s="26"/>
      <c r="G49" s="26"/>
      <c r="H49" s="26"/>
      <c r="I49" s="26"/>
      <c r="J49" s="26"/>
    </row>
    <row r="50" spans="3:10" s="24" customFormat="1" x14ac:dyDescent="0.2">
      <c r="C50" s="26"/>
      <c r="D50" s="26"/>
      <c r="E50" s="26"/>
      <c r="F50" s="26"/>
      <c r="G50" s="26"/>
      <c r="H50" s="26"/>
      <c r="I50" s="26"/>
      <c r="J50" s="26"/>
    </row>
    <row r="51" spans="3:10" s="24" customFormat="1" x14ac:dyDescent="0.2"/>
    <row r="52" spans="3:10" s="24" customFormat="1" x14ac:dyDescent="0.2"/>
    <row r="53" spans="3:10" s="24" customFormat="1" x14ac:dyDescent="0.2"/>
    <row r="54" spans="3:10" s="24" customFormat="1" x14ac:dyDescent="0.2">
      <c r="C54" s="26"/>
      <c r="D54" s="26"/>
      <c r="E54" s="26"/>
      <c r="F54" s="26"/>
      <c r="G54" s="26"/>
      <c r="H54" s="26"/>
      <c r="I54" s="26"/>
      <c r="J54" s="26"/>
    </row>
    <row r="55" spans="3:10" s="24" customFormat="1" x14ac:dyDescent="0.2">
      <c r="C55" s="26"/>
      <c r="D55" s="26"/>
      <c r="E55" s="26"/>
      <c r="F55" s="26"/>
      <c r="G55" s="26"/>
      <c r="H55" s="26"/>
      <c r="I55" s="26"/>
      <c r="J55" s="26"/>
    </row>
    <row r="56" spans="3:10" s="24" customFormat="1" x14ac:dyDescent="0.2">
      <c r="C56" s="26"/>
      <c r="D56" s="26"/>
      <c r="E56" s="26"/>
      <c r="F56" s="26"/>
      <c r="G56" s="26"/>
      <c r="H56" s="26"/>
      <c r="I56" s="26"/>
      <c r="J56" s="26"/>
    </row>
    <row r="57" spans="3:10" s="24" customFormat="1" x14ac:dyDescent="0.2">
      <c r="C57" s="26"/>
      <c r="D57" s="26"/>
      <c r="E57" s="26"/>
      <c r="F57" s="26"/>
      <c r="G57" s="26"/>
      <c r="H57" s="26"/>
      <c r="I57" s="26"/>
      <c r="J57" s="26"/>
    </row>
    <row r="58" spans="3:10" s="24" customFormat="1" x14ac:dyDescent="0.2">
      <c r="C58" s="26"/>
      <c r="D58" s="26"/>
      <c r="E58" s="26"/>
      <c r="F58" s="26"/>
      <c r="G58" s="26"/>
      <c r="H58" s="26"/>
      <c r="I58" s="26"/>
      <c r="J58" s="26"/>
    </row>
    <row r="59" spans="3:10" s="24" customFormat="1" x14ac:dyDescent="0.2">
      <c r="C59" s="26"/>
      <c r="D59" s="26"/>
      <c r="E59" s="26"/>
      <c r="F59" s="26"/>
      <c r="G59" s="26"/>
      <c r="H59" s="26"/>
      <c r="I59" s="26"/>
      <c r="J59" s="26"/>
    </row>
    <row r="60" spans="3:10" s="24" customFormat="1" x14ac:dyDescent="0.2">
      <c r="C60" s="26"/>
      <c r="D60" s="26"/>
      <c r="E60" s="26"/>
      <c r="F60" s="26"/>
      <c r="G60" s="26"/>
      <c r="H60" s="26"/>
      <c r="I60" s="26"/>
      <c r="J60" s="26"/>
    </row>
    <row r="61" spans="3:10" s="24" customFormat="1" x14ac:dyDescent="0.2">
      <c r="C61" s="26"/>
      <c r="D61" s="26"/>
      <c r="E61" s="26"/>
      <c r="F61" s="26"/>
      <c r="G61" s="26"/>
      <c r="H61" s="26"/>
      <c r="I61" s="26"/>
      <c r="J61" s="26"/>
    </row>
    <row r="62" spans="3:10" s="24" customFormat="1" x14ac:dyDescent="0.2">
      <c r="C62" s="26"/>
      <c r="D62" s="26"/>
      <c r="E62" s="26"/>
      <c r="F62" s="26"/>
      <c r="G62" s="26"/>
      <c r="H62" s="26"/>
      <c r="I62" s="26"/>
      <c r="J62" s="26"/>
    </row>
    <row r="63" spans="3:10" s="24" customFormat="1" x14ac:dyDescent="0.2">
      <c r="C63" s="26"/>
      <c r="D63" s="26"/>
      <c r="E63" s="26"/>
      <c r="F63" s="26"/>
      <c r="G63" s="26"/>
      <c r="H63" s="26"/>
      <c r="I63" s="26"/>
      <c r="J63" s="26"/>
    </row>
    <row r="64" spans="3:10" s="24" customFormat="1" x14ac:dyDescent="0.2">
      <c r="C64" s="26"/>
      <c r="D64" s="26"/>
      <c r="E64" s="26"/>
      <c r="F64" s="26"/>
      <c r="G64" s="26"/>
      <c r="H64" s="26"/>
      <c r="I64" s="26"/>
      <c r="J64" s="26"/>
    </row>
    <row r="65" spans="3:10" s="24" customFormat="1" x14ac:dyDescent="0.2">
      <c r="C65" s="26"/>
      <c r="D65" s="26"/>
      <c r="E65" s="26"/>
      <c r="F65" s="26"/>
      <c r="G65" s="26"/>
      <c r="H65" s="26"/>
      <c r="I65" s="26"/>
      <c r="J65" s="26"/>
    </row>
    <row r="66" spans="3:10" s="24" customFormat="1" x14ac:dyDescent="0.2">
      <c r="C66" s="26"/>
      <c r="D66" s="26"/>
      <c r="E66" s="26"/>
      <c r="F66" s="26"/>
      <c r="G66" s="26"/>
      <c r="H66" s="26"/>
      <c r="I66" s="26"/>
      <c r="J66" s="26"/>
    </row>
    <row r="67" spans="3:10" s="24" customFormat="1" x14ac:dyDescent="0.2">
      <c r="C67" s="26"/>
      <c r="D67" s="26"/>
      <c r="E67" s="26"/>
      <c r="F67" s="26"/>
      <c r="G67" s="26"/>
      <c r="H67" s="26"/>
      <c r="I67" s="26"/>
      <c r="J67" s="26"/>
    </row>
    <row r="68" spans="3:10" s="24" customFormat="1" x14ac:dyDescent="0.2">
      <c r="C68" s="26"/>
      <c r="D68" s="26"/>
      <c r="E68" s="26"/>
      <c r="F68" s="26"/>
      <c r="G68" s="26"/>
      <c r="H68" s="26"/>
      <c r="I68" s="26"/>
      <c r="J68" s="26"/>
    </row>
    <row r="69" spans="3:10" s="24" customFormat="1" x14ac:dyDescent="0.2">
      <c r="C69" s="26"/>
      <c r="D69" s="26"/>
      <c r="E69" s="26"/>
      <c r="F69" s="26"/>
      <c r="G69" s="26"/>
      <c r="H69" s="26"/>
      <c r="I69" s="26"/>
      <c r="J69" s="26"/>
    </row>
    <row r="70" spans="3:10" s="24" customFormat="1" x14ac:dyDescent="0.2">
      <c r="C70" s="26"/>
      <c r="D70" s="26"/>
      <c r="E70" s="26"/>
      <c r="F70" s="26"/>
      <c r="G70" s="26"/>
      <c r="H70" s="26"/>
      <c r="I70" s="26"/>
      <c r="J70" s="26"/>
    </row>
    <row r="71" spans="3:10" s="24" customFormat="1" x14ac:dyDescent="0.2">
      <c r="C71" s="26"/>
      <c r="D71" s="26"/>
      <c r="E71" s="26"/>
      <c r="F71" s="26"/>
      <c r="G71" s="26"/>
      <c r="H71" s="26"/>
      <c r="I71" s="26"/>
      <c r="J71" s="26"/>
    </row>
    <row r="72" spans="3:10" s="24" customFormat="1" x14ac:dyDescent="0.2">
      <c r="C72" s="26"/>
      <c r="D72" s="26"/>
      <c r="E72" s="26"/>
      <c r="F72" s="26"/>
      <c r="G72" s="26"/>
      <c r="H72" s="26"/>
      <c r="I72" s="26"/>
      <c r="J72" s="26"/>
    </row>
    <row r="73" spans="3:10" s="24" customFormat="1" x14ac:dyDescent="0.2">
      <c r="C73" s="26"/>
      <c r="D73" s="26"/>
      <c r="E73" s="26"/>
      <c r="F73" s="26"/>
      <c r="G73" s="26"/>
      <c r="H73" s="26"/>
      <c r="I73" s="26"/>
      <c r="J73" s="26"/>
    </row>
    <row r="74" spans="3:10" s="24" customFormat="1" x14ac:dyDescent="0.2">
      <c r="C74" s="26"/>
      <c r="D74" s="26"/>
      <c r="E74" s="26"/>
      <c r="F74" s="26"/>
      <c r="G74" s="26"/>
      <c r="H74" s="26"/>
      <c r="I74" s="26"/>
      <c r="J74" s="26"/>
    </row>
    <row r="75" spans="3:10" s="24" customFormat="1" x14ac:dyDescent="0.2">
      <c r="C75" s="26"/>
      <c r="D75" s="26"/>
      <c r="E75" s="26"/>
      <c r="F75" s="26"/>
      <c r="G75" s="26"/>
      <c r="H75" s="26"/>
      <c r="I75" s="26"/>
      <c r="J75" s="26"/>
    </row>
    <row r="76" spans="3:10" s="24" customFormat="1" x14ac:dyDescent="0.2">
      <c r="C76" s="26"/>
      <c r="D76" s="26"/>
      <c r="E76" s="26"/>
      <c r="F76" s="26"/>
      <c r="G76" s="26"/>
      <c r="H76" s="26"/>
      <c r="I76" s="26"/>
      <c r="J76" s="26"/>
    </row>
    <row r="77" spans="3:10" s="24" customFormat="1" x14ac:dyDescent="0.2">
      <c r="C77" s="26"/>
      <c r="D77" s="26"/>
      <c r="E77" s="26"/>
      <c r="F77" s="26"/>
      <c r="G77" s="26"/>
      <c r="H77" s="26"/>
      <c r="I77" s="26"/>
      <c r="J77" s="26"/>
    </row>
    <row r="78" spans="3:10" s="24" customFormat="1" x14ac:dyDescent="0.2">
      <c r="C78" s="26"/>
      <c r="D78" s="26"/>
      <c r="E78" s="26"/>
      <c r="F78" s="26"/>
      <c r="G78" s="26"/>
      <c r="H78" s="26"/>
      <c r="I78" s="26"/>
      <c r="J78" s="26"/>
    </row>
    <row r="79" spans="3:10" s="24" customFormat="1" x14ac:dyDescent="0.2">
      <c r="C79" s="26"/>
      <c r="D79" s="26"/>
      <c r="E79" s="26"/>
      <c r="F79" s="26"/>
      <c r="G79" s="26"/>
      <c r="H79" s="26"/>
      <c r="I79" s="26"/>
      <c r="J79" s="26"/>
    </row>
    <row r="80" spans="3:10" s="24" customFormat="1" x14ac:dyDescent="0.2">
      <c r="C80" s="26"/>
      <c r="D80" s="26"/>
      <c r="E80" s="26"/>
      <c r="F80" s="26"/>
      <c r="G80" s="26"/>
      <c r="H80" s="26"/>
      <c r="I80" s="26"/>
      <c r="J80" s="26"/>
    </row>
    <row r="81" spans="3:10" s="24" customFormat="1" x14ac:dyDescent="0.2">
      <c r="C81" s="26"/>
      <c r="D81" s="26"/>
      <c r="E81" s="26"/>
      <c r="F81" s="26"/>
      <c r="G81" s="26"/>
      <c r="H81" s="26"/>
      <c r="I81" s="26"/>
      <c r="J81" s="26"/>
    </row>
    <row r="82" spans="3:10" s="24" customFormat="1" x14ac:dyDescent="0.2">
      <c r="C82" s="26"/>
      <c r="D82" s="26"/>
      <c r="E82" s="26"/>
      <c r="F82" s="26"/>
      <c r="G82" s="26"/>
      <c r="H82" s="26"/>
      <c r="I82" s="26"/>
      <c r="J82" s="26"/>
    </row>
    <row r="83" spans="3:10" s="24" customFormat="1" x14ac:dyDescent="0.2">
      <c r="C83" s="26"/>
      <c r="D83" s="26"/>
      <c r="E83" s="26"/>
      <c r="F83" s="26"/>
      <c r="G83" s="26"/>
      <c r="H83" s="26"/>
      <c r="I83" s="26"/>
      <c r="J83" s="26"/>
    </row>
  </sheetData>
  <pageMargins left="0.51181102362204722" right="0.43307086614173229" top="0.51181102362204722" bottom="0.19685039370078741" header="0.23622047244094491" footer="0.23622047244094491"/>
  <pageSetup paperSize="9" scale="49" orientation="landscape" horizontalDpi="300" verticalDpi="300" r:id="rId1"/>
  <headerFooter alignWithMargins="0">
    <oddHeader>&amp;CSide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Normal="100" workbookViewId="0"/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9" width="10" style="26" customWidth="1"/>
    <col min="10" max="10" width="19.28515625" style="26" customWidth="1"/>
    <col min="11" max="11" width="4.28515625" style="24" customWidth="1"/>
    <col min="12" max="12" width="9.140625" style="80"/>
    <col min="13" max="13" width="9.140625" style="24"/>
    <col min="14" max="14" width="12.85546875" style="24" customWidth="1"/>
    <col min="15" max="16384" width="9.140625" style="24"/>
  </cols>
  <sheetData>
    <row r="1" spans="1:15" ht="15.75" x14ac:dyDescent="0.25">
      <c r="A1" s="72" t="str">
        <f>+'Skema1-7_2015'!A1</f>
        <v>Endelig version 31. januar 2018</v>
      </c>
      <c r="F1" s="38"/>
      <c r="L1" s="79"/>
      <c r="M1" s="39"/>
    </row>
    <row r="2" spans="1:15" ht="13.5" customHeight="1" x14ac:dyDescent="0.2">
      <c r="A2" s="31" t="s">
        <v>174</v>
      </c>
      <c r="E2" s="27"/>
      <c r="F2" s="27"/>
      <c r="G2" s="27"/>
      <c r="H2" s="28"/>
      <c r="I2" s="32"/>
      <c r="J2" s="28"/>
      <c r="L2" s="79"/>
      <c r="M2" s="39"/>
    </row>
    <row r="3" spans="1:15" ht="13.5" customHeight="1" x14ac:dyDescent="0.2">
      <c r="A3" s="33" t="s">
        <v>37</v>
      </c>
      <c r="E3" s="27"/>
      <c r="F3" s="27"/>
      <c r="G3" s="27"/>
      <c r="H3" s="28"/>
      <c r="I3" s="27"/>
      <c r="J3" s="28"/>
      <c r="L3" s="79"/>
      <c r="M3" s="39"/>
    </row>
    <row r="4" spans="1:15" ht="54" customHeight="1" x14ac:dyDescent="0.2">
      <c r="A4" s="73" t="s">
        <v>6</v>
      </c>
      <c r="B4" s="73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15</v>
      </c>
      <c r="L4" s="187"/>
      <c r="M4" s="39"/>
    </row>
    <row r="5" spans="1:15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47">
        <v>6344183.4013199992</v>
      </c>
      <c r="D5" s="5">
        <v>180677.223952197</v>
      </c>
      <c r="E5" s="5">
        <v>747997.00686799642</v>
      </c>
      <c r="F5" s="5">
        <v>0</v>
      </c>
      <c r="G5" s="5">
        <v>134916.95384</v>
      </c>
      <c r="H5" s="5">
        <v>-1964215.4320774565</v>
      </c>
      <c r="I5" s="5">
        <v>21445.756676660021</v>
      </c>
      <c r="J5" s="9">
        <f>SUM(C5:E5)-SUM(F5:I5)-L5</f>
        <v>9080710.353700988</v>
      </c>
      <c r="K5" s="162"/>
      <c r="L5" s="16"/>
      <c r="M5" s="80"/>
      <c r="N5" s="80"/>
    </row>
    <row r="6" spans="1:15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47">
        <v>2215618.7973799999</v>
      </c>
      <c r="D6" s="5">
        <v>32551.926719724728</v>
      </c>
      <c r="E6" s="5">
        <v>205037.68153901907</v>
      </c>
      <c r="F6" s="5">
        <v>0</v>
      </c>
      <c r="G6" s="5">
        <v>39069.407370000001</v>
      </c>
      <c r="H6" s="5">
        <v>13897.95363424286</v>
      </c>
      <c r="I6" s="5">
        <v>-23849.701286166972</v>
      </c>
      <c r="J6" s="9">
        <f t="shared" ref="J6:J9" si="0">SUM(C6:E6)-SUM(F6:I6)-L6</f>
        <v>2424090.7459206679</v>
      </c>
      <c r="K6" s="162"/>
      <c r="L6" s="16"/>
      <c r="M6" s="80"/>
      <c r="N6" s="80"/>
    </row>
    <row r="7" spans="1:15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47">
        <v>2816506.11674</v>
      </c>
      <c r="D7" s="5">
        <v>43252.263215628554</v>
      </c>
      <c r="E7" s="5">
        <v>261833.38198621472</v>
      </c>
      <c r="F7" s="5">
        <v>0</v>
      </c>
      <c r="G7" s="5">
        <v>24157.764589999999</v>
      </c>
      <c r="H7" s="5">
        <v>43252.816686528</v>
      </c>
      <c r="I7" s="5">
        <v>-2455.1493424760665</v>
      </c>
      <c r="J7" s="9">
        <f t="shared" si="0"/>
        <v>3056636.3300077911</v>
      </c>
      <c r="K7" s="162"/>
      <c r="L7" s="16"/>
      <c r="M7" s="80"/>
      <c r="N7" s="80"/>
      <c r="O7" s="80"/>
    </row>
    <row r="8" spans="1:15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47">
        <v>4584489.6236899998</v>
      </c>
      <c r="D8" s="5">
        <v>88194.558197128121</v>
      </c>
      <c r="E8" s="5">
        <v>426957.45062408684</v>
      </c>
      <c r="F8" s="5">
        <v>0</v>
      </c>
      <c r="G8" s="5">
        <v>59193.611510000002</v>
      </c>
      <c r="H8" s="5">
        <v>-97830.483018438128</v>
      </c>
      <c r="I8" s="5">
        <v>30869.639593832122</v>
      </c>
      <c r="J8" s="9">
        <f t="shared" si="0"/>
        <v>5107408.8644258203</v>
      </c>
      <c r="K8" s="162"/>
      <c r="L8" s="16"/>
      <c r="M8" s="80"/>
      <c r="N8" s="80"/>
      <c r="O8" s="80"/>
    </row>
    <row r="9" spans="1:15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47">
        <v>2289076.0242000003</v>
      </c>
      <c r="D9" s="5">
        <v>33576.869595095348</v>
      </c>
      <c r="E9" s="5">
        <v>206816.2745246058</v>
      </c>
      <c r="F9" s="5">
        <v>0</v>
      </c>
      <c r="G9" s="5">
        <v>19292.707964876001</v>
      </c>
      <c r="H9" s="5">
        <v>78772.819025637684</v>
      </c>
      <c r="I9" s="5">
        <v>-11032.239730025962</v>
      </c>
      <c r="J9" s="9">
        <f t="shared" si="0"/>
        <v>2442435.881059214</v>
      </c>
      <c r="K9" s="162"/>
      <c r="L9" s="16"/>
      <c r="M9" s="80"/>
      <c r="N9" s="80"/>
      <c r="O9" s="80"/>
    </row>
    <row r="10" spans="1:15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47">
        <v>420082.03138</v>
      </c>
      <c r="D10" s="5">
        <v>6382.7356067675928</v>
      </c>
      <c r="E10" s="5">
        <v>37784.816658426542</v>
      </c>
      <c r="F10" s="5">
        <v>0</v>
      </c>
      <c r="G10" s="5">
        <v>2550.2143099999998</v>
      </c>
      <c r="H10" s="5">
        <v>36464.516593987697</v>
      </c>
      <c r="I10" s="5">
        <v>6222.3954097163823</v>
      </c>
      <c r="J10" s="9">
        <f t="shared" ref="J10" si="1">SUM(C10:E10)-SUM(F10:I10)</f>
        <v>419012.45733149006</v>
      </c>
      <c r="K10" s="162"/>
      <c r="L10" s="16"/>
      <c r="M10" s="80"/>
      <c r="N10" s="80"/>
      <c r="O10" s="80"/>
    </row>
    <row r="11" spans="1:15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47">
        <v>3288136</v>
      </c>
      <c r="D11" s="5">
        <v>294522.64700000011</v>
      </c>
      <c r="E11" s="5">
        <v>165531.89600000001</v>
      </c>
      <c r="F11" s="5">
        <v>0</v>
      </c>
      <c r="G11" s="5">
        <v>23833</v>
      </c>
      <c r="H11" s="5">
        <v>122166.818</v>
      </c>
      <c r="I11" s="5">
        <v>-30093.902999999998</v>
      </c>
      <c r="J11" s="9">
        <f t="shared" ref="J11:J27" si="2">SUM(C11:E11)-SUM(F11:I11)</f>
        <v>3632284.628</v>
      </c>
      <c r="K11" s="162"/>
      <c r="L11" s="16"/>
      <c r="M11" s="80"/>
      <c r="N11" s="80"/>
      <c r="O11" s="80"/>
    </row>
    <row r="12" spans="1:15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47">
        <v>1059765.973</v>
      </c>
      <c r="D12" s="5">
        <v>121489.94799999995</v>
      </c>
      <c r="E12" s="5">
        <v>59986.777000000002</v>
      </c>
      <c r="F12" s="5">
        <v>0</v>
      </c>
      <c r="G12" s="5">
        <v>11847</v>
      </c>
      <c r="H12" s="5">
        <v>27725.645250000001</v>
      </c>
      <c r="I12" s="5">
        <v>-29922.774999999998</v>
      </c>
      <c r="J12" s="9">
        <f t="shared" si="2"/>
        <v>1231592.8277499999</v>
      </c>
      <c r="K12" s="162"/>
      <c r="L12" s="16"/>
      <c r="M12" s="80"/>
      <c r="N12" s="80"/>
      <c r="O12" s="80"/>
    </row>
    <row r="13" spans="1:15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47">
        <v>2004447.4440000001</v>
      </c>
      <c r="D13" s="5">
        <v>259816.65299999999</v>
      </c>
      <c r="E13" s="5">
        <v>107833.212</v>
      </c>
      <c r="F13" s="5">
        <v>0</v>
      </c>
      <c r="G13" s="5">
        <v>30062.877849996126</v>
      </c>
      <c r="H13" s="5">
        <v>106769.06301492332</v>
      </c>
      <c r="I13" s="5">
        <v>115176.198</v>
      </c>
      <c r="J13" s="9">
        <f t="shared" si="2"/>
        <v>2120089.1701350803</v>
      </c>
      <c r="K13" s="162"/>
      <c r="L13" s="16"/>
      <c r="M13" s="80"/>
      <c r="N13" s="80"/>
      <c r="O13" s="80"/>
    </row>
    <row r="14" spans="1:15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47">
        <v>757990.89300000004</v>
      </c>
      <c r="D14" s="5">
        <v>103281.27399999996</v>
      </c>
      <c r="E14" s="5">
        <v>43542.71</v>
      </c>
      <c r="F14" s="5">
        <v>0</v>
      </c>
      <c r="G14" s="5">
        <v>5821.0136618638107</v>
      </c>
      <c r="H14" s="5">
        <v>25342.799417614409</v>
      </c>
      <c r="I14" s="5">
        <v>-45820.432999999997</v>
      </c>
      <c r="J14" s="9">
        <f t="shared" si="2"/>
        <v>919471.49692052172</v>
      </c>
      <c r="K14" s="162"/>
      <c r="L14" s="16"/>
      <c r="M14" s="80"/>
      <c r="N14" s="80"/>
    </row>
    <row r="15" spans="1:15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47">
        <v>6550057</v>
      </c>
      <c r="D15" s="5">
        <v>185425</v>
      </c>
      <c r="E15" s="5">
        <v>133459</v>
      </c>
      <c r="F15" s="5">
        <v>7177</v>
      </c>
      <c r="G15" s="5">
        <v>15521</v>
      </c>
      <c r="H15" s="5">
        <v>201233</v>
      </c>
      <c r="I15" s="5">
        <v>-2218</v>
      </c>
      <c r="J15" s="9">
        <f t="shared" si="2"/>
        <v>6647228</v>
      </c>
      <c r="K15" s="162"/>
      <c r="L15" s="16"/>
      <c r="M15" s="80"/>
      <c r="N15" s="80"/>
    </row>
    <row r="16" spans="1:15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47">
        <v>1808276</v>
      </c>
      <c r="D16" s="5">
        <v>49281</v>
      </c>
      <c r="E16" s="5">
        <v>35469</v>
      </c>
      <c r="F16" s="5">
        <v>784</v>
      </c>
      <c r="G16" s="5">
        <v>9257</v>
      </c>
      <c r="H16" s="5">
        <v>113433</v>
      </c>
      <c r="I16" s="5">
        <v>2462</v>
      </c>
      <c r="J16" s="9">
        <f t="shared" si="2"/>
        <v>1767090</v>
      </c>
      <c r="K16" s="162"/>
      <c r="L16" s="16"/>
      <c r="M16" s="80"/>
      <c r="N16" s="80"/>
    </row>
    <row r="17" spans="1:14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47">
        <v>1801097</v>
      </c>
      <c r="D17" s="5">
        <v>48973</v>
      </c>
      <c r="E17" s="5">
        <v>35248</v>
      </c>
      <c r="F17" s="5">
        <v>3391</v>
      </c>
      <c r="G17" s="5">
        <v>4180</v>
      </c>
      <c r="H17" s="5">
        <v>79489</v>
      </c>
      <c r="I17" s="5">
        <v>209</v>
      </c>
      <c r="J17" s="9">
        <f t="shared" si="2"/>
        <v>1798049</v>
      </c>
      <c r="K17" s="162"/>
      <c r="L17" s="16"/>
      <c r="M17" s="80"/>
      <c r="N17" s="80"/>
    </row>
    <row r="18" spans="1:14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47">
        <v>1447093</v>
      </c>
      <c r="D18" s="5">
        <v>39752</v>
      </c>
      <c r="E18" s="5">
        <v>28611</v>
      </c>
      <c r="F18" s="5">
        <v>15151</v>
      </c>
      <c r="G18" s="5">
        <v>1452</v>
      </c>
      <c r="H18" s="5">
        <v>49894</v>
      </c>
      <c r="I18" s="5">
        <v>-15300</v>
      </c>
      <c r="J18" s="9">
        <f t="shared" si="2"/>
        <v>1464259</v>
      </c>
      <c r="K18" s="162"/>
      <c r="L18" s="16"/>
      <c r="M18" s="80"/>
      <c r="N18" s="80"/>
    </row>
    <row r="19" spans="1:14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47">
        <v>1754157</v>
      </c>
      <c r="D19" s="5">
        <v>48584</v>
      </c>
      <c r="E19" s="5">
        <v>34969</v>
      </c>
      <c r="F19" s="5">
        <v>9814</v>
      </c>
      <c r="G19" s="5">
        <v>5442</v>
      </c>
      <c r="H19" s="5">
        <v>56747</v>
      </c>
      <c r="I19" s="5">
        <v>14847</v>
      </c>
      <c r="J19" s="9">
        <f t="shared" si="2"/>
        <v>1750860</v>
      </c>
      <c r="K19" s="162"/>
      <c r="L19" s="16"/>
      <c r="M19" s="80"/>
      <c r="N19" s="80"/>
    </row>
    <row r="20" spans="1:14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47">
        <v>76825</v>
      </c>
      <c r="D20" s="5">
        <v>2542</v>
      </c>
      <c r="E20" s="5">
        <v>1830</v>
      </c>
      <c r="F20" s="5">
        <v>0</v>
      </c>
      <c r="G20" s="5">
        <v>0</v>
      </c>
      <c r="H20" s="5">
        <v>0</v>
      </c>
      <c r="I20" s="5">
        <v>0</v>
      </c>
      <c r="J20" s="9">
        <f t="shared" si="2"/>
        <v>81197</v>
      </c>
      <c r="K20" s="162"/>
      <c r="L20" s="16"/>
      <c r="M20" s="80"/>
      <c r="N20" s="80"/>
    </row>
    <row r="21" spans="1:14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47">
        <v>977121</v>
      </c>
      <c r="D21" s="5">
        <v>42259</v>
      </c>
      <c r="E21" s="5">
        <v>20836</v>
      </c>
      <c r="F21" s="5">
        <v>0</v>
      </c>
      <c r="G21" s="5">
        <v>189</v>
      </c>
      <c r="H21" s="5">
        <v>43378</v>
      </c>
      <c r="I21" s="5">
        <v>-22260</v>
      </c>
      <c r="J21" s="9">
        <f t="shared" si="2"/>
        <v>1018909</v>
      </c>
      <c r="K21" s="162"/>
      <c r="L21" s="16"/>
      <c r="M21" s="80"/>
      <c r="N21" s="80"/>
    </row>
    <row r="22" spans="1:14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47">
        <v>2200350</v>
      </c>
      <c r="D22" s="5">
        <v>96404</v>
      </c>
      <c r="E22" s="5">
        <v>47879</v>
      </c>
      <c r="F22" s="5">
        <v>0</v>
      </c>
      <c r="G22" s="5">
        <v>7555</v>
      </c>
      <c r="H22" s="5">
        <v>94382</v>
      </c>
      <c r="I22" s="5">
        <v>-32422</v>
      </c>
      <c r="J22" s="9">
        <f t="shared" si="2"/>
        <v>2275118</v>
      </c>
      <c r="K22" s="162"/>
      <c r="L22" s="16"/>
      <c r="M22" s="80"/>
      <c r="N22" s="80"/>
    </row>
    <row r="23" spans="1:14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47">
        <v>6456226</v>
      </c>
      <c r="D23" s="5">
        <v>377695</v>
      </c>
      <c r="E23" s="5">
        <v>151288</v>
      </c>
      <c r="F23" s="5">
        <v>0</v>
      </c>
      <c r="G23" s="5">
        <v>26337</v>
      </c>
      <c r="H23" s="5">
        <v>-383519</v>
      </c>
      <c r="I23" s="5">
        <v>83888</v>
      </c>
      <c r="J23" s="9">
        <f t="shared" si="2"/>
        <v>7258503</v>
      </c>
      <c r="K23" s="162"/>
      <c r="L23" s="16"/>
      <c r="M23" s="80"/>
      <c r="N23" s="80"/>
    </row>
    <row r="24" spans="1:14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47">
        <v>1124922</v>
      </c>
      <c r="D24" s="5">
        <v>48582</v>
      </c>
      <c r="E24" s="5">
        <v>24129</v>
      </c>
      <c r="F24" s="5">
        <v>0</v>
      </c>
      <c r="G24" s="5">
        <v>85</v>
      </c>
      <c r="H24" s="5">
        <v>45695</v>
      </c>
      <c r="I24" s="5">
        <v>-24074</v>
      </c>
      <c r="J24" s="9">
        <f t="shared" si="2"/>
        <v>1175927</v>
      </c>
      <c r="K24" s="162"/>
      <c r="L24" s="16"/>
      <c r="M24" s="80"/>
      <c r="N24" s="80"/>
    </row>
    <row r="25" spans="1:14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47">
        <v>2353104</v>
      </c>
      <c r="D25" s="5">
        <v>108721</v>
      </c>
      <c r="E25" s="5">
        <v>53997</v>
      </c>
      <c r="F25" s="5">
        <v>0</v>
      </c>
      <c r="G25" s="5">
        <v>6249</v>
      </c>
      <c r="H25" s="5">
        <v>-62787</v>
      </c>
      <c r="I25" s="5">
        <v>-2803</v>
      </c>
      <c r="J25" s="9">
        <f t="shared" si="2"/>
        <v>2575163</v>
      </c>
      <c r="K25" s="162"/>
      <c r="L25" s="16"/>
      <c r="M25" s="80"/>
      <c r="N25" s="80"/>
    </row>
    <row r="26" spans="1:14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47">
        <v>4976930</v>
      </c>
      <c r="D26" s="5">
        <v>256466</v>
      </c>
      <c r="E26" s="5">
        <v>112493</v>
      </c>
      <c r="F26" s="5">
        <v>0</v>
      </c>
      <c r="G26" s="5">
        <v>68461</v>
      </c>
      <c r="H26" s="5">
        <v>837319</v>
      </c>
      <c r="I26" s="5">
        <v>-104208.68899999998</v>
      </c>
      <c r="J26" s="9">
        <f t="shared" si="2"/>
        <v>4544317.6890000002</v>
      </c>
      <c r="K26" s="162"/>
      <c r="L26" s="16"/>
      <c r="M26" s="16"/>
      <c r="N26" s="80"/>
    </row>
    <row r="27" spans="1:14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47">
        <v>1531980</v>
      </c>
      <c r="D27" s="5">
        <v>93352</v>
      </c>
      <c r="E27" s="5">
        <v>45938</v>
      </c>
      <c r="F27" s="5">
        <v>0</v>
      </c>
      <c r="G27" s="5">
        <v>43170</v>
      </c>
      <c r="H27" s="5">
        <v>143459</v>
      </c>
      <c r="I27" s="5">
        <v>111003.33900000001</v>
      </c>
      <c r="J27" s="9">
        <f t="shared" si="2"/>
        <v>1373637.6609999998</v>
      </c>
      <c r="K27" s="162"/>
      <c r="L27" s="16"/>
      <c r="M27" s="16"/>
      <c r="N27" s="80"/>
    </row>
    <row r="28" spans="1:14" ht="13.5" customHeight="1" x14ac:dyDescent="0.2">
      <c r="A28" s="13"/>
      <c r="B28" s="30" t="s">
        <v>14</v>
      </c>
      <c r="C28" s="14">
        <f t="shared" ref="C28:I28" si="3">+SUM(C5:C27)</f>
        <v>58838434.304710001</v>
      </c>
      <c r="D28" s="14">
        <f t="shared" si="3"/>
        <v>2561782.0992865413</v>
      </c>
      <c r="E28" s="14">
        <f t="shared" si="3"/>
        <v>2989467.2072003493</v>
      </c>
      <c r="F28" s="14">
        <f t="shared" si="3"/>
        <v>36317</v>
      </c>
      <c r="G28" s="14">
        <f t="shared" si="3"/>
        <v>538642.55109673599</v>
      </c>
      <c r="H28" s="14">
        <f t="shared" si="3"/>
        <v>-388930.48347296077</v>
      </c>
      <c r="I28" s="14">
        <f t="shared" si="3"/>
        <v>39663.43832153955</v>
      </c>
      <c r="J28" s="14">
        <f>SUM(C28:E28)-SUM(F28:I28)</f>
        <v>64163991.105251573</v>
      </c>
      <c r="K28" s="35"/>
      <c r="L28" s="79"/>
      <c r="M28" s="39"/>
    </row>
    <row r="29" spans="1:14" ht="13.5" customHeight="1" x14ac:dyDescent="0.2">
      <c r="A29" s="37"/>
      <c r="B29" s="15"/>
      <c r="C29" s="16"/>
      <c r="D29" s="16"/>
      <c r="E29" s="16"/>
      <c r="F29" s="16"/>
      <c r="G29" s="16"/>
      <c r="H29" s="16"/>
      <c r="I29" s="16"/>
      <c r="J29" s="16"/>
      <c r="L29" s="79"/>
      <c r="M29" s="39"/>
    </row>
    <row r="30" spans="1:14" ht="13.5" customHeight="1" x14ac:dyDescent="0.2">
      <c r="A30" s="37"/>
      <c r="B30" s="17" t="s">
        <v>28</v>
      </c>
      <c r="C30" s="18">
        <f t="shared" ref="C30:J30" si="4">SUM(C5:C10)</f>
        <v>18669955.994710002</v>
      </c>
      <c r="D30" s="18">
        <f t="shared" si="4"/>
        <v>384635.57728654135</v>
      </c>
      <c r="E30" s="18">
        <f t="shared" si="4"/>
        <v>1886426.6122003496</v>
      </c>
      <c r="F30" s="18">
        <f t="shared" si="4"/>
        <v>0</v>
      </c>
      <c r="G30" s="18">
        <f t="shared" si="4"/>
        <v>279180.65958487603</v>
      </c>
      <c r="H30" s="18">
        <f t="shared" si="4"/>
        <v>-1889657.8091554986</v>
      </c>
      <c r="I30" s="18">
        <f t="shared" si="4"/>
        <v>21200.701321539527</v>
      </c>
      <c r="J30" s="6">
        <f t="shared" si="4"/>
        <v>22530294.632445972</v>
      </c>
      <c r="L30" s="79"/>
      <c r="M30" s="39"/>
    </row>
    <row r="31" spans="1:14" ht="13.5" customHeight="1" x14ac:dyDescent="0.2">
      <c r="A31" s="37"/>
      <c r="B31" s="19" t="s">
        <v>29</v>
      </c>
      <c r="C31" s="5">
        <f t="shared" ref="C31:J31" si="5">SUM(C11:C14)</f>
        <v>7110340.3100000005</v>
      </c>
      <c r="D31" s="5">
        <f t="shared" si="5"/>
        <v>779110.52200000011</v>
      </c>
      <c r="E31" s="5">
        <f t="shared" si="5"/>
        <v>376894.59500000003</v>
      </c>
      <c r="F31" s="5">
        <f t="shared" si="5"/>
        <v>0</v>
      </c>
      <c r="G31" s="5">
        <f t="shared" si="5"/>
        <v>71563.891511859925</v>
      </c>
      <c r="H31" s="5">
        <f t="shared" si="5"/>
        <v>282004.32568253775</v>
      </c>
      <c r="I31" s="5">
        <f t="shared" si="5"/>
        <v>9339.0870000000068</v>
      </c>
      <c r="J31" s="8">
        <f t="shared" si="5"/>
        <v>7903438.1228056019</v>
      </c>
      <c r="L31" s="79"/>
      <c r="M31" s="39"/>
    </row>
    <row r="32" spans="1:14" ht="13.5" customHeight="1" x14ac:dyDescent="0.2">
      <c r="A32" s="37"/>
      <c r="B32" s="19" t="s">
        <v>30</v>
      </c>
      <c r="C32" s="5">
        <f t="shared" ref="C32:J32" si="6">SUM(C15:C20)</f>
        <v>13437505</v>
      </c>
      <c r="D32" s="5">
        <f t="shared" si="6"/>
        <v>374557</v>
      </c>
      <c r="E32" s="5">
        <f t="shared" si="6"/>
        <v>269586</v>
      </c>
      <c r="F32" s="5">
        <f t="shared" si="6"/>
        <v>36317</v>
      </c>
      <c r="G32" s="5">
        <f t="shared" si="6"/>
        <v>35852</v>
      </c>
      <c r="H32" s="5">
        <f t="shared" si="6"/>
        <v>500796</v>
      </c>
      <c r="I32" s="5">
        <f t="shared" si="6"/>
        <v>0</v>
      </c>
      <c r="J32" s="8">
        <f t="shared" si="6"/>
        <v>13508683</v>
      </c>
      <c r="L32" s="79"/>
      <c r="M32" s="39"/>
    </row>
    <row r="33" spans="1:13" ht="13.5" customHeight="1" x14ac:dyDescent="0.2">
      <c r="A33" s="37"/>
      <c r="B33" s="19" t="s">
        <v>31</v>
      </c>
      <c r="C33" s="5">
        <f t="shared" ref="C33:J33" si="7">SUM(C21:C25)</f>
        <v>13111723</v>
      </c>
      <c r="D33" s="5">
        <f t="shared" si="7"/>
        <v>673661</v>
      </c>
      <c r="E33" s="5">
        <f t="shared" si="7"/>
        <v>298129</v>
      </c>
      <c r="F33" s="5">
        <f t="shared" si="7"/>
        <v>0</v>
      </c>
      <c r="G33" s="5">
        <f t="shared" si="7"/>
        <v>40415</v>
      </c>
      <c r="H33" s="5">
        <f t="shared" si="7"/>
        <v>-262851</v>
      </c>
      <c r="I33" s="5">
        <f t="shared" si="7"/>
        <v>2329</v>
      </c>
      <c r="J33" s="8">
        <f t="shared" si="7"/>
        <v>14303620</v>
      </c>
      <c r="L33" s="79"/>
      <c r="M33" s="39"/>
    </row>
    <row r="34" spans="1:13" ht="13.5" customHeight="1" x14ac:dyDescent="0.2">
      <c r="A34" s="38"/>
      <c r="B34" s="20" t="s">
        <v>32</v>
      </c>
      <c r="C34" s="10">
        <f t="shared" ref="C34:J34" si="8">+SUM(C26:C27)</f>
        <v>6508910</v>
      </c>
      <c r="D34" s="10">
        <f t="shared" si="8"/>
        <v>349818</v>
      </c>
      <c r="E34" s="10">
        <f t="shared" si="8"/>
        <v>158431</v>
      </c>
      <c r="F34" s="10">
        <f t="shared" si="8"/>
        <v>0</v>
      </c>
      <c r="G34" s="10">
        <f t="shared" si="8"/>
        <v>111631</v>
      </c>
      <c r="H34" s="10">
        <f t="shared" si="8"/>
        <v>980778</v>
      </c>
      <c r="I34" s="10">
        <f t="shared" si="8"/>
        <v>6794.6500000000233</v>
      </c>
      <c r="J34" s="21">
        <f t="shared" si="8"/>
        <v>5917955.3499999996</v>
      </c>
      <c r="L34" s="79"/>
      <c r="M34" s="39"/>
    </row>
    <row r="35" spans="1:13" ht="13.5" customHeight="1" x14ac:dyDescent="0.2">
      <c r="A35" s="38"/>
      <c r="B35" s="13" t="s">
        <v>14</v>
      </c>
      <c r="C35" s="18">
        <f>+SUM(C30:C34)</f>
        <v>58838434.304710001</v>
      </c>
      <c r="D35" s="22">
        <f t="shared" ref="D35:I35" si="9">+SUM(D30:D34)</f>
        <v>2561782.0992865413</v>
      </c>
      <c r="E35" s="22">
        <f t="shared" si="9"/>
        <v>2989467.2072003498</v>
      </c>
      <c r="F35" s="22">
        <f t="shared" si="9"/>
        <v>36317</v>
      </c>
      <c r="G35" s="22">
        <f t="shared" si="9"/>
        <v>538642.55109673599</v>
      </c>
      <c r="H35" s="22">
        <f t="shared" si="9"/>
        <v>-388930.483472961</v>
      </c>
      <c r="I35" s="22">
        <f t="shared" si="9"/>
        <v>39663.438321539557</v>
      </c>
      <c r="J35" s="23">
        <f>+SUM(J30:J34)</f>
        <v>64163991.105251573</v>
      </c>
      <c r="L35" s="79"/>
      <c r="M35" s="39"/>
    </row>
    <row r="36" spans="1:13" ht="13.5" customHeight="1" x14ac:dyDescent="0.2">
      <c r="C36" s="25"/>
      <c r="L36" s="79"/>
      <c r="M36" s="39"/>
    </row>
    <row r="37" spans="1:13" ht="13.5" customHeight="1" x14ac:dyDescent="0.2">
      <c r="C37" s="24"/>
      <c r="D37" s="24"/>
      <c r="E37" s="24"/>
      <c r="F37" s="24"/>
      <c r="G37" s="24"/>
      <c r="H37" s="24"/>
      <c r="I37" s="24"/>
      <c r="J37" s="24"/>
      <c r="L37" s="79"/>
      <c r="M37" s="39"/>
    </row>
    <row r="38" spans="1:13" ht="13.5" customHeight="1" x14ac:dyDescent="0.2">
      <c r="L38" s="79"/>
      <c r="M38" s="39"/>
    </row>
    <row r="39" spans="1:13" ht="13.5" customHeight="1" x14ac:dyDescent="0.2">
      <c r="C39" s="36"/>
      <c r="D39" s="36"/>
      <c r="E39" s="36"/>
      <c r="F39" s="36"/>
      <c r="G39" s="36"/>
      <c r="H39" s="36"/>
      <c r="I39" s="36"/>
      <c r="J39" s="36"/>
      <c r="L39" s="79"/>
      <c r="M39" s="39"/>
    </row>
    <row r="40" spans="1:13" ht="13.5" customHeight="1" x14ac:dyDescent="0.2">
      <c r="L40" s="79"/>
      <c r="M40" s="39"/>
    </row>
    <row r="41" spans="1:13" ht="13.5" customHeight="1" x14ac:dyDescent="0.2">
      <c r="L41" s="79"/>
      <c r="M41" s="39"/>
    </row>
    <row r="42" spans="1:13" ht="13.5" customHeight="1" x14ac:dyDescent="0.2">
      <c r="L42" s="79"/>
      <c r="M42" s="39"/>
    </row>
    <row r="43" spans="1:13" ht="13.5" customHeight="1" x14ac:dyDescent="0.2">
      <c r="L43" s="79"/>
      <c r="M43" s="39"/>
    </row>
    <row r="44" spans="1:13" x14ac:dyDescent="0.2">
      <c r="L44" s="79"/>
      <c r="M44" s="39"/>
    </row>
  </sheetData>
  <pageMargins left="0.51181102362204722" right="0.43307086614173229" top="0.51181102362204722" bottom="0.19685039370078741" header="0.23622047244094491" footer="0.23622047244094491"/>
  <pageSetup paperSize="9" scale="73" orientation="landscape" cellComments="asDisplayed" horizontalDpi="300" verticalDpi="300" r:id="rId1"/>
  <headerFooter alignWithMargins="0">
    <oddHeader>&amp;CSide &amp;P / &amp;N</oddHeader>
  </headerFooter>
  <ignoredErrors>
    <ignoredError sqref="C30:J3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/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8" width="10" style="26" customWidth="1"/>
    <col min="9" max="9" width="18.85546875" style="26" bestFit="1" customWidth="1"/>
    <col min="10" max="10" width="19.28515625" style="26" customWidth="1"/>
    <col min="11" max="11" width="9.140625" style="24"/>
    <col min="12" max="12" width="8" style="24" customWidth="1"/>
    <col min="13" max="13" width="9.140625" style="24"/>
    <col min="14" max="14" width="8.5703125" style="24" customWidth="1"/>
    <col min="15" max="16384" width="9.140625" style="24"/>
  </cols>
  <sheetData>
    <row r="1" spans="1:18" ht="15.75" x14ac:dyDescent="0.25">
      <c r="A1" s="72" t="str">
        <f>'Skema1-7_2015'!A1</f>
        <v>Endelig version 31. januar 2018</v>
      </c>
      <c r="N1" s="39"/>
      <c r="O1" s="39"/>
      <c r="P1" s="39"/>
      <c r="Q1" s="39"/>
      <c r="R1" s="39"/>
    </row>
    <row r="2" spans="1:18" ht="13.5" customHeight="1" x14ac:dyDescent="0.2">
      <c r="A2" s="31" t="s">
        <v>175</v>
      </c>
      <c r="E2" s="27"/>
      <c r="F2" s="27"/>
      <c r="G2" s="27"/>
      <c r="H2" s="28"/>
      <c r="I2" s="32"/>
      <c r="J2" s="28"/>
      <c r="N2" s="39"/>
      <c r="O2" s="39"/>
      <c r="P2" s="39"/>
      <c r="Q2" s="39"/>
      <c r="R2" s="39"/>
    </row>
    <row r="3" spans="1:18" ht="13.5" customHeight="1" x14ac:dyDescent="0.2">
      <c r="A3" s="33" t="s">
        <v>44</v>
      </c>
      <c r="E3" s="27"/>
      <c r="F3" s="27"/>
      <c r="G3" s="27"/>
      <c r="H3" s="28"/>
      <c r="I3" s="27"/>
      <c r="J3" s="28"/>
      <c r="N3" s="39"/>
      <c r="O3" s="39"/>
      <c r="P3" s="39"/>
      <c r="Q3" s="39"/>
      <c r="R3" s="39"/>
    </row>
    <row r="4" spans="1:18" ht="54" customHeight="1" x14ac:dyDescent="0.2">
      <c r="A4" s="73" t="s">
        <v>6</v>
      </c>
      <c r="B4" s="73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15</v>
      </c>
      <c r="N4" s="39"/>
      <c r="O4" s="39"/>
      <c r="P4" s="39"/>
      <c r="Q4" s="39"/>
      <c r="R4" s="39"/>
    </row>
    <row r="5" spans="1:18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88">
        <f>IF((ROUND('Skema1-7_2015'!C5,0))=0,"-",((('Skema1-7_2016'!C5-'Skema1-7_2015'!C5)/'Skema1-7_2015'!C5))*100)</f>
        <v>2.8589379057338551</v>
      </c>
      <c r="D5" s="88">
        <f>IF((ROUND('Skema1-7_2015'!D5,0))=0,"-",((('Skema1-7_2016'!D5-'Skema1-7_2015'!D5)/'Skema1-7_2015'!D5))*100)</f>
        <v>198.08188701583424</v>
      </c>
      <c r="E5" s="88">
        <f>IF((ROUND('Skema1-7_2015'!E5,0))=0,"-",((('Skema1-7_2016'!E5-'Skema1-7_2015'!E5)/'Skema1-7_2015'!E5))*100)</f>
        <v>-1.6603499452613579</v>
      </c>
      <c r="F5" s="88" t="str">
        <f>IF((ROUND('Skema1-7_2015'!F5,0))=0,"-",((('Skema1-7_2016'!F5-'Skema1-7_2015'!F5)/'Skema1-7_2015'!F5))*100)</f>
        <v>-</v>
      </c>
      <c r="G5" s="88">
        <f>IF((ROUND('Skema1-7_2015'!G5,0))=0,"-",((('Skema1-7_2016'!G5-'Skema1-7_2015'!G5)/'Skema1-7_2015'!G5))*100)</f>
        <v>63.83008173653495</v>
      </c>
      <c r="H5" s="88">
        <f>IF((ROUND('Skema1-7_2015'!H5,0))=0,"-",((('Skema1-7_2016'!H5-'Skema1-7_2015'!H5)/'Skema1-7_2015'!H5))*100)</f>
        <v>-1.4228757213704526</v>
      </c>
      <c r="I5" s="88">
        <f>IF((ROUND('Skema1-7_2015'!I5,0))=0,"-",((('Skema1-7_2016'!I5-'Skema1-7_2015'!I5)/'Skema1-7_2015'!I5))*100)</f>
        <v>41.823347823845822</v>
      </c>
      <c r="J5" s="88">
        <f>IF((ROUND('Skema1-7_2015'!J5,0))=0,"-",((('Skema1-7_2016'!J5-'Skema1-7_2015'!J5)/'Skema1-7_2015'!J5))*100)</f>
        <v>2.2121180946503771</v>
      </c>
      <c r="N5" s="39"/>
      <c r="O5" s="39"/>
      <c r="P5" s="39"/>
      <c r="Q5" s="39"/>
      <c r="R5" s="39"/>
    </row>
    <row r="6" spans="1:18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88">
        <f>IF((ROUND('Skema1-7_2015'!C6,0))=0,"-",((('Skema1-7_2016'!C6-'Skema1-7_2015'!C6)/'Skema1-7_2015'!C6))*100)</f>
        <v>-7.2841492492874389</v>
      </c>
      <c r="D6" s="88">
        <f>IF((ROUND('Skema1-7_2015'!D6,0))=0,"-",((('Skema1-7_2016'!D6-'Skema1-7_2015'!D6)/'Skema1-7_2015'!D6))*100)</f>
        <v>103.73940922635252</v>
      </c>
      <c r="E6" s="88">
        <f>IF((ROUND('Skema1-7_2015'!E6,0))=0,"-",((('Skema1-7_2016'!E6-'Skema1-7_2015'!E6)/'Skema1-7_2015'!E6))*100)</f>
        <v>-11.1252869088111</v>
      </c>
      <c r="F6" s="88" t="str">
        <f>IF((ROUND('Skema1-7_2015'!F6,0))=0,"-",((('Skema1-7_2016'!F6-'Skema1-7_2015'!F6)/'Skema1-7_2015'!F6))*100)</f>
        <v>-</v>
      </c>
      <c r="G6" s="88">
        <f>IF((ROUND('Skema1-7_2015'!G6,0))=0,"-",((('Skema1-7_2016'!G6-'Skema1-7_2015'!G6)/'Skema1-7_2015'!G6))*100)</f>
        <v>1303.3952192031704</v>
      </c>
      <c r="H6" s="88">
        <f>IF((ROUND('Skema1-7_2015'!H6,0))=0,"-",((('Skema1-7_2016'!H6-'Skema1-7_2015'!H6)/'Skema1-7_2015'!H6))*100)</f>
        <v>-131.80940402275857</v>
      </c>
      <c r="I6" s="88">
        <f>IF((ROUND('Skema1-7_2015'!I6,0))=0,"-",((('Skema1-7_2016'!I6-'Skema1-7_2015'!I6)/'Skema1-7_2015'!I6))*100)</f>
        <v>-7.8941389512794311</v>
      </c>
      <c r="J6" s="88">
        <f>IF((ROUND('Skema1-7_2015'!J6,0))=0,"-",((('Skema1-7_2016'!J6-'Skema1-7_2015'!J6)/'Skema1-7_2015'!J6))*100)</f>
        <v>-10.324140956452174</v>
      </c>
      <c r="N6" s="39"/>
      <c r="O6" s="39"/>
      <c r="P6" s="39"/>
      <c r="Q6" s="39"/>
      <c r="R6" s="39"/>
    </row>
    <row r="7" spans="1:18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88">
        <f>IF((ROUND('Skema1-7_2015'!C7,0))=0,"-",((('Skema1-7_2016'!C7-'Skema1-7_2015'!C7)/'Skema1-7_2015'!C7))*100)</f>
        <v>2.6193792247814569</v>
      </c>
      <c r="D7" s="88">
        <f>IF((ROUND('Skema1-7_2015'!D7,0))=0,"-",((('Skema1-7_2016'!D7-'Skema1-7_2015'!D7)/'Skema1-7_2015'!D7))*100)</f>
        <v>136.33151139354953</v>
      </c>
      <c r="E7" s="88">
        <f>IF((ROUND('Skema1-7_2015'!E7,0))=0,"-",((('Skema1-7_2016'!E7-'Skema1-7_2015'!E7)/'Skema1-7_2015'!E7))*100)</f>
        <v>-1.8349468634752744</v>
      </c>
      <c r="F7" s="88" t="str">
        <f>IF((ROUND('Skema1-7_2015'!F7,0))=0,"-",((('Skema1-7_2016'!F7-'Skema1-7_2015'!F7)/'Skema1-7_2015'!F7))*100)</f>
        <v>-</v>
      </c>
      <c r="G7" s="88">
        <f>IF((ROUND('Skema1-7_2015'!G7,0))=0,"-",((('Skema1-7_2016'!G7-'Skema1-7_2015'!G7)/'Skema1-7_2015'!G7))*100)</f>
        <v>252.80544654511908</v>
      </c>
      <c r="H7" s="88">
        <f>IF((ROUND('Skema1-7_2015'!H7,0))=0,"-",((('Skema1-7_2016'!H7-'Skema1-7_2015'!H7)/'Skema1-7_2015'!H7))*100)</f>
        <v>-171.3815808437927</v>
      </c>
      <c r="I7" s="88">
        <f>IF((ROUND('Skema1-7_2015'!I7,0))=0,"-",((('Skema1-7_2016'!I7-'Skema1-7_2015'!I7)/'Skema1-7_2015'!I7))*100)</f>
        <v>-108.46966871765007</v>
      </c>
      <c r="J7" s="88">
        <f>IF((ROUND('Skema1-7_2015'!J7,0))=0,"-",((('Skema1-7_2016'!J7-'Skema1-7_2015'!J7)/'Skema1-7_2015'!J7))*100)</f>
        <v>7.3138023489302914E-2</v>
      </c>
      <c r="N7" s="39"/>
      <c r="O7" s="39"/>
      <c r="P7" s="39"/>
      <c r="Q7" s="39"/>
      <c r="R7" s="39"/>
    </row>
    <row r="8" spans="1:18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88">
        <f>IF((ROUND('Skema1-7_2015'!C8,0))=0,"-",((('Skema1-7_2016'!C8-'Skema1-7_2015'!C8)/'Skema1-7_2015'!C8))*100)</f>
        <v>5.1612916625597727</v>
      </c>
      <c r="D8" s="88">
        <f>IF((ROUND('Skema1-7_2015'!D8,0))=0,"-",((('Skema1-7_2016'!D8-'Skema1-7_2015'!D8)/'Skema1-7_2015'!D8))*100)</f>
        <v>175.19786791072457</v>
      </c>
      <c r="E8" s="88">
        <f>IF((ROUND('Skema1-7_2015'!E8,0))=0,"-",((('Skema1-7_2016'!E8-'Skema1-7_2015'!E8)/'Skema1-7_2015'!E8))*100)</f>
        <v>5.5148552761530217E-2</v>
      </c>
      <c r="F8" s="88" t="str">
        <f>IF((ROUND('Skema1-7_2015'!F8,0))=0,"-",((('Skema1-7_2016'!F8-'Skema1-7_2015'!F8)/'Skema1-7_2015'!F8))*100)</f>
        <v>-</v>
      </c>
      <c r="G8" s="88">
        <f>IF((ROUND('Skema1-7_2015'!G8,0))=0,"-",((('Skema1-7_2016'!G8-'Skema1-7_2015'!G8)/'Skema1-7_2015'!G8))*100)</f>
        <v>178.65252542640314</v>
      </c>
      <c r="H8" s="88">
        <f>IF((ROUND('Skema1-7_2015'!H8,0))=0,"-",((('Skema1-7_2016'!H8-'Skema1-7_2015'!H8)/'Skema1-7_2015'!H8))*100)</f>
        <v>-46.616089507727153</v>
      </c>
      <c r="I8" s="88">
        <f>IF((ROUND('Skema1-7_2015'!I8,0))=0,"-",((('Skema1-7_2016'!I8-'Skema1-7_2015'!I8)/'Skema1-7_2015'!I8))*100)</f>
        <v>315.33375287185805</v>
      </c>
      <c r="J8" s="88">
        <f>IF((ROUND('Skema1-7_2015'!J8,0))=0,"-",((('Skema1-7_2016'!J8-'Skema1-7_2015'!J8)/'Skema1-7_2015'!J8))*100)</f>
        <v>2.7061422788762188</v>
      </c>
      <c r="N8" s="39"/>
      <c r="O8" s="39"/>
      <c r="P8" s="39"/>
      <c r="Q8" s="39"/>
      <c r="R8" s="39"/>
    </row>
    <row r="9" spans="1:18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88">
        <f>IF((ROUND('Skema1-7_2015'!C9,0))=0,"-",((('Skema1-7_2016'!C9-'Skema1-7_2015'!C9)/'Skema1-7_2015'!C9))*100)</f>
        <v>-1.7651576143739049</v>
      </c>
      <c r="D9" s="88">
        <f>IF((ROUND('Skema1-7_2015'!D9,0))=0,"-",((('Skema1-7_2016'!D9-'Skema1-7_2015'!D9)/'Skema1-7_2015'!D9))*100)</f>
        <v>124.47863343491714</v>
      </c>
      <c r="E9" s="88">
        <f>IF((ROUND('Skema1-7_2015'!E9,0))=0,"-",((('Skema1-7_2016'!E9-'Skema1-7_2015'!E9)/'Skema1-7_2015'!E9))*100)</f>
        <v>-5.21288409752876</v>
      </c>
      <c r="F9" s="88" t="str">
        <f>IF((ROUND('Skema1-7_2015'!F9,0))=0,"-",((('Skema1-7_2016'!F9-'Skema1-7_2015'!F9)/'Skema1-7_2015'!F9))*100)</f>
        <v>-</v>
      </c>
      <c r="G9" s="88">
        <f>IF((ROUND('Skema1-7_2015'!G9,0))=0,"-",((('Skema1-7_2016'!G9-'Skema1-7_2015'!G9)/'Skema1-7_2015'!G9))*100)</f>
        <v>76.48221547357349</v>
      </c>
      <c r="H9" s="88">
        <f>IF((ROUND('Skema1-7_2015'!H9,0))=0,"-",((('Skema1-7_2016'!H9-'Skema1-7_2015'!H9)/'Skema1-7_2015'!H9))*100)</f>
        <v>-4.8017896341958997</v>
      </c>
      <c r="I9" s="88">
        <f>IF((ROUND('Skema1-7_2015'!I9,0))=0,"-",((('Skema1-7_2016'!I9-'Skema1-7_2015'!I9)/'Skema1-7_2015'!I9))*100)</f>
        <v>-36.585621251560084</v>
      </c>
      <c r="J9" s="88">
        <f>IF((ROUND('Skema1-7_2015'!J9,0))=0,"-",((('Skema1-7_2016'!J9-'Skema1-7_2015'!J9)/'Skema1-7_2015'!J9))*100)</f>
        <v>-1.7948439287662445</v>
      </c>
      <c r="N9" s="39"/>
      <c r="O9" s="39"/>
      <c r="P9" s="39"/>
      <c r="Q9" s="39"/>
      <c r="R9" s="39"/>
    </row>
    <row r="10" spans="1:18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88">
        <f>IF((ROUND('Skema1-7_2015'!C10,0))=0,"-",((('Skema1-7_2016'!C10-'Skema1-7_2015'!C10)/'Skema1-7_2015'!C10))*100)</f>
        <v>4.3005051714160416</v>
      </c>
      <c r="D10" s="88">
        <f>IF((ROUND('Skema1-7_2015'!D10,0))=0,"-",((('Skema1-7_2016'!D10-'Skema1-7_2015'!D10)/'Skema1-7_2015'!D10))*100)</f>
        <v>145.93860289319252</v>
      </c>
      <c r="E10" s="88">
        <f>IF((ROUND('Skema1-7_2015'!E10,0))=0,"-",((('Skema1-7_2016'!E10-'Skema1-7_2015'!E10)/'Skema1-7_2015'!E10))*100)</f>
        <v>0.70081599310376852</v>
      </c>
      <c r="F10" s="88" t="str">
        <f>IF((ROUND('Skema1-7_2015'!F10,0))=0,"-",((('Skema1-7_2016'!F10-'Skema1-7_2015'!F10)/'Skema1-7_2015'!F10))*100)</f>
        <v>-</v>
      </c>
      <c r="G10" s="88">
        <f>IF((ROUND('Skema1-7_2015'!G10,0))=0,"-",((('Skema1-7_2016'!G10-'Skema1-7_2015'!G10)/'Skema1-7_2015'!G10))*100)</f>
        <v>147.6229285036855</v>
      </c>
      <c r="H10" s="88">
        <f>IF((ROUND('Skema1-7_2015'!H10,0))=0,"-",((('Skema1-7_2016'!H10-'Skema1-7_2015'!H10)/'Skema1-7_2015'!H10))*100)</f>
        <v>19.783597601296286</v>
      </c>
      <c r="I10" s="88">
        <f>IF((ROUND('Skema1-7_2015'!I10,0))=0,"-",((('Skema1-7_2016'!I10-'Skema1-7_2015'!I10)/'Skema1-7_2015'!I10))*100)</f>
        <v>-7.4988302383039791</v>
      </c>
      <c r="J10" s="88">
        <f>IF((ROUND('Skema1-7_2015'!J10,0))=0,"-",((('Skema1-7_2016'!J10-'Skema1-7_2015'!J10)/'Skema1-7_2015'!J10))*100)</f>
        <v>3.5417601729492079</v>
      </c>
      <c r="N10" s="39"/>
      <c r="O10" s="39"/>
      <c r="P10" s="39"/>
      <c r="Q10" s="39"/>
      <c r="R10" s="39"/>
    </row>
    <row r="11" spans="1:18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88">
        <f>IF((ROUND('Skema1-7_2015'!C11,0))=0,"-",((('Skema1-7_2016'!C11-'Skema1-7_2015'!C11)/'Skema1-7_2015'!C11))*100)</f>
        <v>10.443760087419834</v>
      </c>
      <c r="D11" s="88">
        <f>IF((ROUND('Skema1-7_2015'!D11,0))=0,"-",((('Skema1-7_2016'!D11-'Skema1-7_2015'!D11)/'Skema1-7_2015'!D11))*100)</f>
        <v>11.262298967663485</v>
      </c>
      <c r="E11" s="88">
        <f>IF((ROUND('Skema1-7_2015'!E11,0))=0,"-",((('Skema1-7_2016'!E11-'Skema1-7_2015'!E11)/'Skema1-7_2015'!E11))*100)</f>
        <v>19.003443646556896</v>
      </c>
      <c r="F11" s="88" t="str">
        <f>IF((ROUND('Skema1-7_2015'!F11,0))=0,"-",((('Skema1-7_2016'!F11-'Skema1-7_2015'!F11)/'Skema1-7_2015'!F11))*100)</f>
        <v>-</v>
      </c>
      <c r="G11" s="88">
        <f>IF((ROUND('Skema1-7_2015'!G11,0))=0,"-",((('Skema1-7_2016'!G11-'Skema1-7_2015'!G11)/'Skema1-7_2015'!G11))*100)</f>
        <v>42.37305348174192</v>
      </c>
      <c r="H11" s="88">
        <f>IF((ROUND('Skema1-7_2015'!H11,0))=0,"-",((('Skema1-7_2016'!H11-'Skema1-7_2015'!H11)/'Skema1-7_2015'!H11))*100)</f>
        <v>30.533971146242855</v>
      </c>
      <c r="I11" s="88">
        <f>IF((ROUND('Skema1-7_2015'!I11,0))=0,"-",((('Skema1-7_2016'!I11-'Skema1-7_2015'!I11)/'Skema1-7_2015'!I11))*100)</f>
        <v>-229.45660999992947</v>
      </c>
      <c r="J11" s="88">
        <f>IF((ROUND('Skema1-7_2015'!J11,0))=0,"-",((('Skema1-7_2016'!J11-'Skema1-7_2015'!J11)/'Skema1-7_2015'!J11))*100)</f>
        <v>11.850833357265959</v>
      </c>
      <c r="N11" s="39"/>
      <c r="O11" s="39"/>
      <c r="P11" s="39"/>
      <c r="Q11" s="39"/>
      <c r="R11" s="39"/>
    </row>
    <row r="12" spans="1:18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88">
        <f>IF((ROUND('Skema1-7_2015'!C12,0))=0,"-",((('Skema1-7_2016'!C12-'Skema1-7_2015'!C12)/'Skema1-7_2015'!C12))*100)</f>
        <v>5.3282002916962377</v>
      </c>
      <c r="D12" s="88">
        <f>IF((ROUND('Skema1-7_2015'!D12,0))=0,"-",((('Skema1-7_2016'!D12-'Skema1-7_2015'!D12)/'Skema1-7_2015'!D12))*100)</f>
        <v>12.522154303704239</v>
      </c>
      <c r="E12" s="88">
        <f>IF((ROUND('Skema1-7_2015'!E12,0))=0,"-",((('Skema1-7_2016'!E12-'Skema1-7_2015'!E12)/'Skema1-7_2015'!E12))*100)</f>
        <v>14.070286635606241</v>
      </c>
      <c r="F12" s="88">
        <f>IF((ROUND('Skema1-7_2015'!F12,0))=0,"-",((('Skema1-7_2016'!F12-'Skema1-7_2015'!F12)/'Skema1-7_2015'!F12))*100)</f>
        <v>-100</v>
      </c>
      <c r="G12" s="88">
        <f>IF((ROUND('Skema1-7_2015'!G12,0))=0,"-",((('Skema1-7_2016'!G12-'Skema1-7_2015'!G12)/'Skema1-7_2015'!G12))*100)</f>
        <v>20.656804632871527</v>
      </c>
      <c r="H12" s="88">
        <f>IF((ROUND('Skema1-7_2015'!H12,0))=0,"-",((('Skema1-7_2016'!H12-'Skema1-7_2015'!H12)/'Skema1-7_2015'!H12))*100)</f>
        <v>-7.4463443445539248</v>
      </c>
      <c r="I12" s="88">
        <f>IF((ROUND('Skema1-7_2015'!I12,0))=0,"-",((('Skema1-7_2016'!I12-'Skema1-7_2015'!I12)/'Skema1-7_2015'!I12))*100)</f>
        <v>6.0226596096704936</v>
      </c>
      <c r="J12" s="82">
        <f>IF((ROUND('Skema1-7_2015'!J12,0))=0,"-",((('Skema1-7_2016'!J12-'Skema1-7_2015'!J12)/'Skema1-7_2015'!J12))*100)</f>
        <v>7.0626279048033327</v>
      </c>
      <c r="N12" s="39"/>
      <c r="O12" s="39"/>
      <c r="P12" s="39"/>
      <c r="Q12" s="39"/>
      <c r="R12" s="39"/>
    </row>
    <row r="13" spans="1:18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88">
        <f>IF((ROUND('Skema1-7_2015'!C13,0))=0,"-",((('Skema1-7_2016'!C13-'Skema1-7_2015'!C13)/'Skema1-7_2015'!C13))*100)</f>
        <v>-15.149273561502888</v>
      </c>
      <c r="D13" s="88">
        <f>IF((ROUND('Skema1-7_2015'!D13,0))=0,"-",((('Skema1-7_2016'!D13-'Skema1-7_2015'!D13)/'Skema1-7_2015'!D13))*100)</f>
        <v>2.5614807974279881</v>
      </c>
      <c r="E13" s="88">
        <f>IF((ROUND('Skema1-7_2015'!E13,0))=0,"-",((('Skema1-7_2016'!E13-'Skema1-7_2015'!E13)/'Skema1-7_2015'!E13))*100)</f>
        <v>-5.0184309166437586</v>
      </c>
      <c r="F13" s="88">
        <f>IF((ROUND('Skema1-7_2015'!F13,0))=0,"-",((('Skema1-7_2016'!F13-'Skema1-7_2015'!F13)/'Skema1-7_2015'!F13))*100)</f>
        <v>-100</v>
      </c>
      <c r="G13" s="88">
        <f>IF((ROUND('Skema1-7_2015'!G13,0))=0,"-",((('Skema1-7_2016'!G13-'Skema1-7_2015'!G13)/'Skema1-7_2015'!G13))*100)</f>
        <v>44.259556016756548</v>
      </c>
      <c r="H13" s="88">
        <f>IF((ROUND('Skema1-7_2015'!H13,0))=0,"-",((('Skema1-7_2016'!H13-'Skema1-7_2015'!H13)/'Skema1-7_2015'!H13))*100)</f>
        <v>-4.8145239717829451</v>
      </c>
      <c r="I13" s="88">
        <f>IF((ROUND('Skema1-7_2015'!I13,0))=0,"-",((('Skema1-7_2016'!I13-'Skema1-7_2015'!I13)/'Skema1-7_2015'!I13))*100)</f>
        <v>95.633233092479244</v>
      </c>
      <c r="J13" s="82">
        <f>IF((ROUND('Skema1-7_2015'!J13,0))=0,"-",((('Skema1-7_2016'!J13-'Skema1-7_2015'!J13)/'Skema1-7_2015'!J13))*100)</f>
        <v>-16.409930448066248</v>
      </c>
      <c r="N13" s="39"/>
      <c r="O13" s="39"/>
      <c r="P13" s="39"/>
      <c r="Q13" s="39"/>
      <c r="R13" s="39"/>
    </row>
    <row r="14" spans="1:18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88">
        <f>IF((ROUND('Skema1-7_2015'!C14,0))=0,"-",((('Skema1-7_2016'!C14-'Skema1-7_2015'!C14)/'Skema1-7_2015'!C14))*100)</f>
        <v>5.5850875177388319</v>
      </c>
      <c r="D14" s="88">
        <f>IF((ROUND('Skema1-7_2015'!D14,0))=0,"-",((('Skema1-7_2016'!D14-'Skema1-7_2015'!D14)/'Skema1-7_2015'!D14))*100)</f>
        <v>12.908284668602118</v>
      </c>
      <c r="E14" s="88">
        <f>IF((ROUND('Skema1-7_2015'!E14,0))=0,"-",((('Skema1-7_2016'!E14-'Skema1-7_2015'!E14)/'Skema1-7_2015'!E14))*100)</f>
        <v>16.147427777964118</v>
      </c>
      <c r="F14" s="88" t="str">
        <f>IF((ROUND('Skema1-7_2015'!F14,0))=0,"-",((('Skema1-7_2016'!F14-'Skema1-7_2015'!F14)/'Skema1-7_2015'!F14))*100)</f>
        <v>-</v>
      </c>
      <c r="G14" s="88">
        <f>IF((ROUND('Skema1-7_2015'!G14,0))=0,"-",((('Skema1-7_2016'!G14-'Skema1-7_2015'!G14)/'Skema1-7_2015'!G14))*100)</f>
        <v>41.511400197591769</v>
      </c>
      <c r="H14" s="88">
        <f>IF((ROUND('Skema1-7_2015'!H14,0))=0,"-",((('Skema1-7_2016'!H14-'Skema1-7_2015'!H14)/'Skema1-7_2015'!H14))*100)</f>
        <v>21.468748470950313</v>
      </c>
      <c r="I14" s="88">
        <f>IF((ROUND('Skema1-7_2015'!I14,0))=0,"-",((('Skema1-7_2016'!I14-'Skema1-7_2015'!I14)/'Skema1-7_2015'!I14))*100)</f>
        <v>-14.375184475258585</v>
      </c>
      <c r="J14" s="82">
        <f>IF((ROUND('Skema1-7_2015'!J14,0))=0,"-",((('Skema1-7_2016'!J14-'Skema1-7_2015'!J14)/'Skema1-7_2015'!J14))*100)</f>
        <v>5.0351019021964083</v>
      </c>
      <c r="N14" s="39"/>
      <c r="O14" s="39"/>
      <c r="P14" s="39"/>
      <c r="Q14" s="39"/>
      <c r="R14" s="39"/>
    </row>
    <row r="15" spans="1:18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88">
        <f>IF((ROUND('Skema1-7_2015'!C15,0))=0,"-",((('Skema1-7_2016'!C15-'Skema1-7_2015'!C15)/'Skema1-7_2015'!C15))*100)</f>
        <v>-0.1133416706135906</v>
      </c>
      <c r="D15" s="88">
        <f>IF((ROUND('Skema1-7_2015'!D15,0))=0,"-",((('Skema1-7_2016'!D15-'Skema1-7_2015'!D15)/'Skema1-7_2015'!D15))*100)</f>
        <v>-19.133480738558923</v>
      </c>
      <c r="E15" s="88">
        <f>IF((ROUND('Skema1-7_2015'!E15,0))=0,"-",((('Skema1-7_2016'!E15-'Skema1-7_2015'!E15)/'Skema1-7_2015'!E15))*100)</f>
        <v>-3.3855971749059224</v>
      </c>
      <c r="F15" s="88">
        <f>IF((ROUND('Skema1-7_2015'!F15,0))=0,"-",((('Skema1-7_2016'!F15-'Skema1-7_2015'!F15)/'Skema1-7_2015'!F15))*100)</f>
        <v>-12.239609222312337</v>
      </c>
      <c r="G15" s="88">
        <f>IF((ROUND('Skema1-7_2015'!G15,0))=0,"-",((('Skema1-7_2016'!G15-'Skema1-7_2015'!G15)/'Skema1-7_2015'!G15))*100)</f>
        <v>1.9890593554509668</v>
      </c>
      <c r="H15" s="88">
        <f>IF((ROUND('Skema1-7_2015'!H15,0))=0,"-",((('Skema1-7_2016'!H15-'Skema1-7_2015'!H15)/'Skema1-7_2015'!H15))*100)</f>
        <v>5.1578517163245348</v>
      </c>
      <c r="I15" s="88">
        <f>IF((ROUND('Skema1-7_2015'!I15,0))=0,"-",((('Skema1-7_2016'!I15-'Skema1-7_2015'!I15)/'Skema1-7_2015'!I15))*100)</f>
        <v>8.5540917991739622</v>
      </c>
      <c r="J15" s="82">
        <f>IF((ROUND('Skema1-7_2015'!J15,0))=0,"-",((('Skema1-7_2016'!J15-'Skema1-7_2015'!J15)/'Skema1-7_2015'!J15))*100)</f>
        <v>-0.96807033994871161</v>
      </c>
      <c r="N15" s="39"/>
      <c r="O15" s="39"/>
      <c r="P15" s="39"/>
      <c r="Q15" s="39"/>
      <c r="R15" s="39"/>
    </row>
    <row r="16" spans="1:18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88">
        <f>IF((ROUND('Skema1-7_2015'!C16,0))=0,"-",((('Skema1-7_2016'!C16-'Skema1-7_2015'!C16)/'Skema1-7_2015'!C16))*100)</f>
        <v>2.6409655832776533</v>
      </c>
      <c r="D16" s="88">
        <f>IF((ROUND('Skema1-7_2015'!D16,0))=0,"-",((('Skema1-7_2016'!D16-'Skema1-7_2015'!D16)/'Skema1-7_2015'!D16))*100)</f>
        <v>-16.704787932377752</v>
      </c>
      <c r="E16" s="88">
        <f>IF((ROUND('Skema1-7_2015'!E16,0))=0,"-",((('Skema1-7_2016'!E16-'Skema1-7_2015'!E16)/'Skema1-7_2015'!E16))*100)</f>
        <v>-0.48651318562818319</v>
      </c>
      <c r="F16" s="88">
        <f>IF((ROUND('Skema1-7_2015'!F16,0))=0,"-",((('Skema1-7_2016'!F16-'Skema1-7_2015'!F16)/'Skema1-7_2015'!F16))*100)</f>
        <v>-65.587425715586207</v>
      </c>
      <c r="G16" s="88">
        <f>IF((ROUND('Skema1-7_2015'!G16,0))=0,"-",((('Skema1-7_2016'!G16-'Skema1-7_2015'!G16)/'Skema1-7_2015'!G16))*100)</f>
        <v>29.234950592097686</v>
      </c>
      <c r="H16" s="88">
        <f>IF((ROUND('Skema1-7_2015'!H16,0))=0,"-",((('Skema1-7_2016'!H16-'Skema1-7_2015'!H16)/'Skema1-7_2015'!H16))*100)</f>
        <v>8.1665863265965477</v>
      </c>
      <c r="I16" s="88">
        <f>IF((ROUND('Skema1-7_2015'!I16,0))=0,"-",((('Skema1-7_2016'!I16-'Skema1-7_2015'!I16)/'Skema1-7_2015'!I16))*100)</f>
        <v>7.2079725805377244</v>
      </c>
      <c r="J16" s="88">
        <f>IF((ROUND('Skema1-7_2015'!J16,0))=0,"-",((('Skema1-7_2016'!J16-'Skema1-7_2015'!J16)/'Skema1-7_2015'!J16))*100)</f>
        <v>1.5598698044642858</v>
      </c>
      <c r="N16" s="39"/>
      <c r="O16" s="46"/>
      <c r="P16" s="44"/>
      <c r="Q16" s="39"/>
      <c r="R16" s="39"/>
    </row>
    <row r="17" spans="1:18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88">
        <f>IF((ROUND('Skema1-7_2015'!C17,0))=0,"-",((('Skema1-7_2016'!C17-'Skema1-7_2015'!C17)/'Skema1-7_2015'!C17))*100)</f>
        <v>2.9054700829832174</v>
      </c>
      <c r="D17" s="88">
        <f>IF((ROUND('Skema1-7_2015'!D17,0))=0,"-",((('Skema1-7_2016'!D17-'Skema1-7_2015'!D17)/'Skema1-7_2015'!D17))*100)</f>
        <v>-16.390783397172573</v>
      </c>
      <c r="E17" s="88">
        <f>IF((ROUND('Skema1-7_2015'!E17,0))=0,"-",((('Skema1-7_2016'!E17-'Skema1-7_2015'!E17)/'Skema1-7_2015'!E17))*100)</f>
        <v>-0.11007502456580535</v>
      </c>
      <c r="F17" s="88">
        <f>IF((ROUND('Skema1-7_2015'!F17,0))=0,"-",((('Skema1-7_2016'!F17-'Skema1-7_2015'!F17)/'Skema1-7_2015'!F17))*100)</f>
        <v>31.583440431621639</v>
      </c>
      <c r="G17" s="88">
        <f>IF((ROUND('Skema1-7_2015'!G17,0))=0,"-",((('Skema1-7_2016'!G17-'Skema1-7_2015'!G17)/'Skema1-7_2015'!G17))*100)</f>
        <v>10.418981921137082</v>
      </c>
      <c r="H17" s="88">
        <f>IF((ROUND('Skema1-7_2015'!H17,0))=0,"-",((('Skema1-7_2016'!H17-'Skema1-7_2015'!H17)/'Skema1-7_2015'!H17))*100)</f>
        <v>23.183159204435388</v>
      </c>
      <c r="I17" s="88">
        <f>IF((ROUND('Skema1-7_2015'!I17,0))=0,"-",((('Skema1-7_2016'!I17-'Skema1-7_2015'!I17)/'Skema1-7_2015'!I17))*100)</f>
        <v>0.1543047182741023</v>
      </c>
      <c r="J17" s="88">
        <f>IF((ROUND('Skema1-7_2015'!J17,0))=0,"-",((('Skema1-7_2016'!J17-'Skema1-7_2015'!J17)/'Skema1-7_2015'!J17))*100)</f>
        <v>1.4125593221994526</v>
      </c>
      <c r="N17" s="39"/>
      <c r="O17" s="46"/>
      <c r="P17" s="44"/>
      <c r="Q17" s="39"/>
      <c r="R17" s="39"/>
    </row>
    <row r="18" spans="1:18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88">
        <f>IF((ROUND('Skema1-7_2015'!C18,0))=0,"-",((('Skema1-7_2016'!C18-'Skema1-7_2015'!C18)/'Skema1-7_2015'!C18))*100)</f>
        <v>0.94314916909230084</v>
      </c>
      <c r="D18" s="88">
        <f>IF((ROUND('Skema1-7_2015'!D18,0))=0,"-",((('Skema1-7_2016'!D18-'Skema1-7_2015'!D18)/'Skema1-7_2015'!D18))*100)</f>
        <v>-17.969279916295307</v>
      </c>
      <c r="E18" s="88">
        <f>IF((ROUND('Skema1-7_2015'!E18,0))=0,"-",((('Skema1-7_2016'!E18-'Skema1-7_2015'!E18)/'Skema1-7_2015'!E18))*100)</f>
        <v>-1.99580066169875</v>
      </c>
      <c r="F18" s="88">
        <f>IF((ROUND('Skema1-7_2015'!F18,0))=0,"-",((('Skema1-7_2016'!F18-'Skema1-7_2015'!F18)/'Skema1-7_2015'!F18))*100)</f>
        <v>-3.7234331546350496</v>
      </c>
      <c r="G18" s="88">
        <f>IF((ROUND('Skema1-7_2015'!G18,0))=0,"-",((('Skema1-7_2016'!G18-'Skema1-7_2015'!G18)/'Skema1-7_2015'!G18))*100)</f>
        <v>34.968572400600131</v>
      </c>
      <c r="H18" s="88">
        <f>IF((ROUND('Skema1-7_2015'!H18,0))=0,"-",((('Skema1-7_2016'!H18-'Skema1-7_2015'!H18)/'Skema1-7_2015'!H18))*100)</f>
        <v>8.8744266575675486</v>
      </c>
      <c r="I18" s="88">
        <f>IF((ROUND('Skema1-7_2015'!I18,0))=0,"-",((('Skema1-7_2016'!I18-'Skema1-7_2015'!I18)/'Skema1-7_2015'!I18))*100)</f>
        <v>-3.8106450307258877</v>
      </c>
      <c r="J18" s="88">
        <f>IF((ROUND('Skema1-7_2015'!J18,0))=0,"-",((('Skema1-7_2016'!J18-'Skema1-7_2015'!J18)/'Skema1-7_2015'!J18))*100)</f>
        <v>-1.5915005901221583E-2</v>
      </c>
      <c r="N18" s="39"/>
      <c r="O18" s="46"/>
      <c r="P18" s="44"/>
      <c r="Q18" s="39"/>
      <c r="R18" s="39"/>
    </row>
    <row r="19" spans="1:18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88">
        <f>IF((ROUND('Skema1-7_2015'!C19,0))=0,"-",((('Skema1-7_2016'!C19-'Skema1-7_2015'!C19)/'Skema1-7_2015'!C19))*100)</f>
        <v>0.52674762550427079</v>
      </c>
      <c r="D19" s="88">
        <f>IF((ROUND('Skema1-7_2015'!D19,0))=0,"-",((('Skema1-7_2016'!D19-'Skema1-7_2015'!D19)/'Skema1-7_2015'!D19))*100)</f>
        <v>-17.97274910336721</v>
      </c>
      <c r="E19" s="88">
        <f>IF((ROUND('Skema1-7_2015'!E19,0))=0,"-",((('Skema1-7_2016'!E19-'Skema1-7_2015'!E19)/'Skema1-7_2015'!E19))*100)</f>
        <v>-1.9951823523280554</v>
      </c>
      <c r="F19" s="88">
        <f>IF((ROUND('Skema1-7_2015'!F19,0))=0,"-",((('Skema1-7_2016'!F19-'Skema1-7_2015'!F19)/'Skema1-7_2015'!F19))*100)</f>
        <v>4.3184589355286649</v>
      </c>
      <c r="G19" s="88">
        <f>IF((ROUND('Skema1-7_2015'!G19,0))=0,"-",((('Skema1-7_2016'!G19-'Skema1-7_2015'!G19)/'Skema1-7_2015'!G19))*100)</f>
        <v>2.0741382359930842</v>
      </c>
      <c r="H19" s="88">
        <f>IF((ROUND('Skema1-7_2015'!H19,0))=0,"-",((('Skema1-7_2016'!H19-'Skema1-7_2015'!H19)/'Skema1-7_2015'!H19))*100)</f>
        <v>9.1090260796087001</v>
      </c>
      <c r="I19" s="88">
        <f>IF((ROUND('Skema1-7_2015'!I19,0))=0,"-",((('Skema1-7_2016'!I19-'Skema1-7_2015'!I19)/'Skema1-7_2015'!I19))*100)</f>
        <v>-3.873116398345088</v>
      </c>
      <c r="J19" s="88">
        <f>IF((ROUND('Skema1-7_2015'!J19,0))=0,"-",((('Skema1-7_2016'!J19-'Skema1-7_2015'!J19)/'Skema1-7_2015'!J19))*100)</f>
        <v>-0.3881035622705431</v>
      </c>
      <c r="N19" s="39"/>
      <c r="O19" s="39"/>
      <c r="P19" s="39"/>
      <c r="Q19" s="39"/>
      <c r="R19" s="39"/>
    </row>
    <row r="20" spans="1:18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88">
        <f>IF((ROUND('Skema1-7_2015'!C20,0))=0,"-",((('Skema1-7_2016'!C20-'Skema1-7_2015'!C20)/'Skema1-7_2015'!C20))*100)</f>
        <v>-0.15523018745433687</v>
      </c>
      <c r="D20" s="88">
        <f>IF((ROUND('Skema1-7_2015'!D20,0))=0,"-",((('Skema1-7_2016'!D20-'Skema1-7_2015'!D20)/'Skema1-7_2015'!D20))*100)</f>
        <v>-20.939568843845375</v>
      </c>
      <c r="E20" s="88">
        <f>IF((ROUND('Skema1-7_2015'!E20,0))=0,"-",((('Skema1-7_2016'!E20-'Skema1-7_2015'!E20)/'Skema1-7_2015'!E20))*100)</f>
        <v>-5.516982160780139</v>
      </c>
      <c r="F20" s="88" t="str">
        <f>IF((ROUND('Skema1-7_2015'!F20,0))=0,"-",((('Skema1-7_2016'!F20-'Skema1-7_2015'!F20)/'Skema1-7_2015'!F20))*100)</f>
        <v>-</v>
      </c>
      <c r="G20" s="88" t="str">
        <f>IF((ROUND('Skema1-7_2015'!G20,0))=0,"-",((('Skema1-7_2016'!G20-'Skema1-7_2015'!G20)/'Skema1-7_2015'!G20))*100)</f>
        <v>-</v>
      </c>
      <c r="H20" s="88">
        <f>IF((ROUND('Skema1-7_2015'!H20,0))=0,"-",((('Skema1-7_2016'!H20-'Skema1-7_2015'!H20)/'Skema1-7_2015'!H20))*100)</f>
        <v>-100</v>
      </c>
      <c r="I20" s="88">
        <f>IF((ROUND('Skema1-7_2015'!I20,0))=0,"-",((('Skema1-7_2016'!I20-'Skema1-7_2015'!I20)/'Skema1-7_2015'!I20))*100)</f>
        <v>-100</v>
      </c>
      <c r="J20" s="88">
        <f>IF((ROUND('Skema1-7_2015'!J20,0))=0,"-",((('Skema1-7_2016'!J20-'Skema1-7_2015'!J20)/'Skema1-7_2015'!J20))*100)</f>
        <v>1.3465484795771068</v>
      </c>
      <c r="N20" s="39"/>
      <c r="O20" s="39"/>
      <c r="P20" s="39"/>
      <c r="Q20" s="39"/>
      <c r="R20" s="39"/>
    </row>
    <row r="21" spans="1:18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88">
        <f>IF((ROUND('Skema1-7_2015'!C21,0))=0,"-",((('Skema1-7_2016'!C21-'Skema1-7_2015'!C21)/'Skema1-7_2015'!C21))*100)</f>
        <v>1.8722465410267675</v>
      </c>
      <c r="D21" s="88">
        <f>IF((ROUND('Skema1-7_2015'!D21,0))=0,"-",((('Skema1-7_2016'!D21-'Skema1-7_2015'!D21)/'Skema1-7_2015'!D21))*100)</f>
        <v>13.129988120534767</v>
      </c>
      <c r="E21" s="88">
        <f>IF((ROUND('Skema1-7_2015'!E21,0))=0,"-",((('Skema1-7_2016'!E21-'Skema1-7_2015'!E21)/'Skema1-7_2015'!E21))*100)</f>
        <v>1.4781592321674302</v>
      </c>
      <c r="F21" s="88">
        <f>IF((ROUND('Skema1-7_2015'!F21,0))=0,"-",((('Skema1-7_2016'!F21-'Skema1-7_2015'!F21)/'Skema1-7_2015'!F21))*100)</f>
        <v>-100</v>
      </c>
      <c r="G21" s="88">
        <f>IF((ROUND('Skema1-7_2015'!G21,0))=0,"-",((('Skema1-7_2016'!G21-'Skema1-7_2015'!G21)/'Skema1-7_2015'!G21))*100)</f>
        <v>39.234724698324776</v>
      </c>
      <c r="H21" s="88">
        <f>IF((ROUND('Skema1-7_2015'!H21,0))=0,"-",((('Skema1-7_2016'!H21-'Skema1-7_2015'!H21)/'Skema1-7_2015'!H21))*100)</f>
        <v>-4.1535402924238252</v>
      </c>
      <c r="I21" s="88">
        <f>IF((ROUND('Skema1-7_2015'!I21,0))=0,"-",((('Skema1-7_2016'!I21-'Skema1-7_2015'!I21)/'Skema1-7_2015'!I21))*100)</f>
        <v>-5.2176774396612</v>
      </c>
      <c r="J21" s="88">
        <f>IF((ROUND('Skema1-7_2015'!J21,0))=0,"-",((('Skema1-7_2016'!J21-'Skema1-7_2015'!J21)/'Skema1-7_2015'!J21))*100)</f>
        <v>2.4825229967281888</v>
      </c>
      <c r="N21" s="39"/>
      <c r="O21" s="39"/>
      <c r="P21" s="39"/>
      <c r="Q21" s="39"/>
      <c r="R21" s="39"/>
    </row>
    <row r="22" spans="1:18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88">
        <f>IF((ROUND('Skema1-7_2015'!C22,0))=0,"-",((('Skema1-7_2016'!C22-'Skema1-7_2015'!C22)/'Skema1-7_2015'!C22))*100)</f>
        <v>-1.9856118985307516</v>
      </c>
      <c r="D22" s="88">
        <f>IF((ROUND('Skema1-7_2015'!D22,0))=0,"-",((('Skema1-7_2016'!D22-'Skema1-7_2015'!D22)/'Skema1-7_2015'!D22))*100)</f>
        <v>11.071102338291896</v>
      </c>
      <c r="E22" s="88">
        <f>IF((ROUND('Skema1-7_2015'!E22,0))=0,"-",((('Skema1-7_2016'!E22-'Skema1-7_2015'!E22)/'Skema1-7_2015'!E22))*100)</f>
        <v>-1.6673725486619952</v>
      </c>
      <c r="F22" s="88" t="str">
        <f>IF((ROUND('Skema1-7_2015'!F22,0))=0,"-",((('Skema1-7_2016'!F22-'Skema1-7_2015'!F22)/'Skema1-7_2015'!F22))*100)</f>
        <v>-</v>
      </c>
      <c r="G22" s="88">
        <f>IF((ROUND('Skema1-7_2015'!G22,0))=0,"-",((('Skema1-7_2016'!G22-'Skema1-7_2015'!G22)/'Skema1-7_2015'!G22))*100)</f>
        <v>-38.014915145659614</v>
      </c>
      <c r="H22" s="88">
        <f>IF((ROUND('Skema1-7_2015'!H22,0))=0,"-",((('Skema1-7_2016'!H22-'Skema1-7_2015'!H22)/'Skema1-7_2015'!H22))*100)</f>
        <v>-22.998719111896257</v>
      </c>
      <c r="I22" s="88">
        <f>IF((ROUND('Skema1-7_2015'!I22,0))=0,"-",((('Skema1-7_2016'!I22-'Skema1-7_2015'!I22)/'Skema1-7_2015'!I22))*100)</f>
        <v>118.51521131280924</v>
      </c>
      <c r="J22" s="88">
        <f>IF((ROUND('Skema1-7_2015'!J22,0))=0,"-",((('Skema1-7_2016'!J22-'Skema1-7_2015'!J22)/'Skema1-7_2015'!J22))*100)</f>
        <v>0.64719527512938668</v>
      </c>
      <c r="N22" s="39"/>
      <c r="O22" s="39"/>
      <c r="P22" s="39"/>
      <c r="Q22" s="39"/>
      <c r="R22" s="39"/>
    </row>
    <row r="23" spans="1:18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88">
        <f>IF((ROUND('Skema1-7_2015'!C23,0))=0,"-",((('Skema1-7_2016'!C23-'Skema1-7_2015'!C23)/'Skema1-7_2015'!C23))*100)</f>
        <v>2.0030050461629219</v>
      </c>
      <c r="D23" s="88">
        <f>IF((ROUND('Skema1-7_2015'!D23,0))=0,"-",((('Skema1-7_2016'!D23-'Skema1-7_2015'!D23)/'Skema1-7_2015'!D23))*100)</f>
        <v>12.972937951052202</v>
      </c>
      <c r="E23" s="88">
        <f>IF((ROUND('Skema1-7_2015'!E23,0))=0,"-",((('Skema1-7_2016'!E23-'Skema1-7_2015'!E23)/'Skema1-7_2015'!E23))*100)</f>
        <v>0.47733441723747888</v>
      </c>
      <c r="F23" s="88" t="str">
        <f>IF((ROUND('Skema1-7_2015'!F23,0))=0,"-",((('Skema1-7_2016'!F23-'Skema1-7_2015'!F23)/'Skema1-7_2015'!F23))*100)</f>
        <v>-</v>
      </c>
      <c r="G23" s="88">
        <f>IF((ROUND('Skema1-7_2015'!G23,0))=0,"-",((('Skema1-7_2016'!G23-'Skema1-7_2015'!G23)/'Skema1-7_2015'!G23))*100)</f>
        <v>5.0295420262131758</v>
      </c>
      <c r="H23" s="88">
        <f>IF((ROUND('Skema1-7_2015'!H23,0))=0,"-",((('Skema1-7_2016'!H23-'Skema1-7_2015'!H23)/'Skema1-7_2015'!H23))*100)</f>
        <v>-7.3462217655072104</v>
      </c>
      <c r="I23" s="88">
        <f>IF((ROUND('Skema1-7_2015'!I23,0))=0,"-",((('Skema1-7_2016'!I23-'Skema1-7_2015'!I23)/'Skema1-7_2015'!I23))*100)</f>
        <v>56.923086362544282</v>
      </c>
      <c r="J23" s="88">
        <f>IF((ROUND('Skema1-7_2015'!J23,0))=0,"-",((('Skema1-7_2016'!J23-'Skema1-7_2015'!J23)/'Skema1-7_2015'!J23))*100)</f>
        <v>1.52131942763741</v>
      </c>
      <c r="N23" s="39"/>
      <c r="O23" s="39"/>
      <c r="P23" s="39"/>
      <c r="Q23" s="39"/>
      <c r="R23" s="39"/>
    </row>
    <row r="24" spans="1:18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88">
        <f>IF((ROUND('Skema1-7_2015'!C24,0))=0,"-",((('Skema1-7_2016'!C24-'Skema1-7_2015'!C24)/'Skema1-7_2015'!C24))*100)</f>
        <v>2.7947656916494723</v>
      </c>
      <c r="D24" s="88">
        <f>IF((ROUND('Skema1-7_2015'!D24,0))=0,"-",((('Skema1-7_2016'!D24-'Skema1-7_2015'!D24)/'Skema1-7_2015'!D24))*100)</f>
        <v>16.949226963250666</v>
      </c>
      <c r="E24" s="88">
        <f>IF((ROUND('Skema1-7_2015'!E24,0))=0,"-",((('Skema1-7_2016'!E24-'Skema1-7_2015'!E24)/'Skema1-7_2015'!E24))*100)</f>
        <v>3.5398759830098365</v>
      </c>
      <c r="F24" s="88">
        <f>IF((ROUND('Skema1-7_2015'!F24,0))=0,"-",((('Skema1-7_2016'!F24-'Skema1-7_2015'!F24)/'Skema1-7_2015'!F24))*100)</f>
        <v>-100</v>
      </c>
      <c r="G24" s="88">
        <f>IF((ROUND('Skema1-7_2015'!G24,0))=0,"-",((('Skema1-7_2016'!G24-'Skema1-7_2015'!G24)/'Skema1-7_2015'!G24))*100)</f>
        <v>-75.027029567996976</v>
      </c>
      <c r="H24" s="88">
        <f>IF((ROUND('Skema1-7_2015'!H24,0))=0,"-",((('Skema1-7_2016'!H24-'Skema1-7_2015'!H24)/'Skema1-7_2015'!H24))*100)</f>
        <v>-15.534896823459604</v>
      </c>
      <c r="I24" s="88">
        <f>IF((ROUND('Skema1-7_2015'!I24,0))=0,"-",((('Skema1-7_2016'!I24-'Skema1-7_2015'!I24)/'Skema1-7_2015'!I24))*100)</f>
        <v>71.353769516012093</v>
      </c>
      <c r="J24" s="88">
        <f>IF((ROUND('Skema1-7_2015'!J24,0))=0,"-",((('Skema1-7_2016'!J24-'Skema1-7_2015'!J24)/'Skema1-7_2015'!J24))*100)</f>
        <v>5.6907267928780989</v>
      </c>
      <c r="N24" s="39"/>
      <c r="O24" s="39"/>
      <c r="P24" s="39"/>
      <c r="Q24" s="39"/>
      <c r="R24" s="39"/>
    </row>
    <row r="25" spans="1:18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88">
        <f>IF((ROUND('Skema1-7_2015'!C25,0))=0,"-",((('Skema1-7_2016'!C25-'Skema1-7_2015'!C25)/'Skema1-7_2015'!C25))*100)</f>
        <v>-2.0355655554851255</v>
      </c>
      <c r="D25" s="88">
        <f>IF((ROUND('Skema1-7_2015'!D25,0))=0,"-",((('Skema1-7_2016'!D25-'Skema1-7_2015'!D25)/'Skema1-7_2015'!D25))*100)</f>
        <v>9.3186439331963538</v>
      </c>
      <c r="E25" s="88">
        <f>IF((ROUND('Skema1-7_2015'!E25,0))=0,"-",((('Skema1-7_2016'!E25-'Skema1-7_2015'!E25)/'Skema1-7_2015'!E25))*100)</f>
        <v>-2.694327520978633</v>
      </c>
      <c r="F25" s="88" t="str">
        <f>IF((ROUND('Skema1-7_2015'!F25,0))=0,"-",((('Skema1-7_2016'!F25-'Skema1-7_2015'!F25)/'Skema1-7_2015'!F25))*100)</f>
        <v>-</v>
      </c>
      <c r="G25" s="88">
        <f>IF((ROUND('Skema1-7_2015'!G25,0))=0,"-",((('Skema1-7_2016'!G25-'Skema1-7_2015'!G25)/'Skema1-7_2015'!G25))*100)</f>
        <v>45.800177928013589</v>
      </c>
      <c r="H25" s="88">
        <f>IF((ROUND('Skema1-7_2015'!H25,0))=0,"-",((('Skema1-7_2016'!H25-'Skema1-7_2015'!H25)/'Skema1-7_2015'!H25))*100)</f>
        <v>89.701722615637721</v>
      </c>
      <c r="I25" s="88">
        <f>IF((ROUND('Skema1-7_2015'!I25,0))=0,"-",((('Skema1-7_2016'!I25-'Skema1-7_2015'!I25)/'Skema1-7_2015'!I25))*100)</f>
        <v>-45.627262176496266</v>
      </c>
      <c r="J25" s="88">
        <f>IF((ROUND('Skema1-7_2015'!J25,0))=0,"-",((('Skema1-7_2016'!J25-'Skema1-7_2015'!J25)/'Skema1-7_2015'!J25))*100)</f>
        <v>-0.60780148271213918</v>
      </c>
      <c r="N25" s="39"/>
      <c r="O25" s="46"/>
      <c r="P25" s="46"/>
      <c r="Q25" s="39"/>
      <c r="R25" s="39"/>
    </row>
    <row r="26" spans="1:18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88">
        <f>IF((ROUND('Skema1-7_2015'!C26,0))=0,"-",((('Skema1-7_2016'!C26-'Skema1-7_2015'!C26)/'Skema1-7_2015'!C26))*100)</f>
        <v>-0.97778223025425359</v>
      </c>
      <c r="D26" s="88">
        <f>IF((ROUND('Skema1-7_2015'!D26,0))=0,"-",((('Skema1-7_2016'!D26-'Skema1-7_2015'!D26)/'Skema1-7_2015'!D26))*100)</f>
        <v>25.15551434529381</v>
      </c>
      <c r="E26" s="88">
        <f>IF((ROUND('Skema1-7_2015'!E26,0))=0,"-",((('Skema1-7_2016'!E26-'Skema1-7_2015'!E26)/'Skema1-7_2015'!E26))*100)</f>
        <v>12.667709752906104</v>
      </c>
      <c r="F26" s="88">
        <f>IF((ROUND('Skema1-7_2015'!F26,0))=0,"-",((('Skema1-7_2016'!F26-'Skema1-7_2015'!F26)/'Skema1-7_2015'!F26))*100)</f>
        <v>-100</v>
      </c>
      <c r="G26" s="88">
        <f>IF((ROUND('Skema1-7_2015'!G26,0))=0,"-",((('Skema1-7_2016'!G26-'Skema1-7_2015'!G26)/'Skema1-7_2015'!G26))*100)</f>
        <v>-9.029354113286967</v>
      </c>
      <c r="H26" s="88">
        <f>IF((ROUND('Skema1-7_2015'!H26,0))=0,"-",((('Skema1-7_2016'!H26-'Skema1-7_2015'!H26)/'Skema1-7_2015'!H26))*100)</f>
        <v>-6.2768368527515053</v>
      </c>
      <c r="I26" s="88">
        <f>IF((ROUND('Skema1-7_2015'!I26,0))=0,"-",((('Skema1-7_2016'!I26-'Skema1-7_2015'!I26)/'Skema1-7_2015'!I26))*100)</f>
        <v>-7.9157295976117634E-2</v>
      </c>
      <c r="J26" s="88">
        <f>IF((ROUND('Skema1-7_2015'!J26,0))=0,"-",((('Skema1-7_2016'!J26-'Skema1-7_2015'!J26)/'Skema1-7_2015'!J26))*100)</f>
        <v>1.8019452504631592</v>
      </c>
      <c r="N26" s="39"/>
      <c r="O26" s="39"/>
      <c r="P26" s="39"/>
      <c r="Q26" s="39"/>
      <c r="R26" s="39"/>
    </row>
    <row r="27" spans="1:18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88">
        <f>IF((ROUND('Skema1-7_2015'!C27,0))=0,"-",((('Skema1-7_2016'!C27-'Skema1-7_2015'!C27)/'Skema1-7_2015'!C27))*100)</f>
        <v>-0.4995272829232752</v>
      </c>
      <c r="D27" s="88">
        <f>IF((ROUND('Skema1-7_2015'!D27,0))=0,"-",((('Skema1-7_2016'!D27-'Skema1-7_2015'!D27)/'Skema1-7_2015'!D27))*100)</f>
        <v>6.2725779412738518</v>
      </c>
      <c r="E27" s="88">
        <f>IF((ROUND('Skema1-7_2015'!E27,0))=0,"-",((('Skema1-7_2016'!E27-'Skema1-7_2015'!E27)/'Skema1-7_2015'!E27))*100)</f>
        <v>1.9328499575097742</v>
      </c>
      <c r="F27" s="88">
        <f>IF((ROUND('Skema1-7_2015'!F27,0))=0,"-",((('Skema1-7_2016'!F27-'Skema1-7_2015'!F27)/'Skema1-7_2015'!F27))*100)</f>
        <v>-100</v>
      </c>
      <c r="G27" s="88">
        <f>IF((ROUND('Skema1-7_2015'!G27,0))=0,"-",((('Skema1-7_2016'!G27-'Skema1-7_2015'!G27)/'Skema1-7_2015'!G27))*100)</f>
        <v>54.585825483224959</v>
      </c>
      <c r="H27" s="88">
        <f>IF((ROUND('Skema1-7_2015'!H27,0))=0,"-",((('Skema1-7_2016'!H27-'Skema1-7_2015'!H27)/'Skema1-7_2015'!H27))*100)</f>
        <v>0.20696286777399961</v>
      </c>
      <c r="I27" s="88">
        <f>IF((ROUND('Skema1-7_2015'!I27,0))=0,"-",((('Skema1-7_2016'!I27-'Skema1-7_2015'!I27)/'Skema1-7_2015'!I27))*100)</f>
        <v>6.4359140734052387</v>
      </c>
      <c r="J27" s="88">
        <f>IF((ROUND('Skema1-7_2015'!J27,0))=0,"-",((('Skema1-7_2016'!J27-'Skema1-7_2015'!J27)/'Skema1-7_2015'!J27))*100)</f>
        <v>-1.4192923173684211</v>
      </c>
      <c r="N27" s="39"/>
      <c r="O27" s="39"/>
      <c r="P27" s="39"/>
      <c r="Q27" s="39"/>
      <c r="R27" s="39"/>
    </row>
    <row r="28" spans="1:18" ht="13.5" customHeight="1" x14ac:dyDescent="0.2">
      <c r="A28" s="13"/>
      <c r="B28" s="13" t="s">
        <v>14</v>
      </c>
      <c r="C28" s="83"/>
      <c r="D28" s="83"/>
      <c r="E28" s="83"/>
      <c r="F28" s="83"/>
      <c r="G28" s="83"/>
      <c r="H28" s="83"/>
      <c r="I28" s="83"/>
      <c r="J28" s="152"/>
      <c r="K28" s="35"/>
      <c r="L28" s="39"/>
      <c r="N28" s="39"/>
      <c r="O28" s="39"/>
      <c r="P28" s="39"/>
      <c r="Q28" s="39"/>
      <c r="R28" s="39"/>
    </row>
    <row r="29" spans="1:18" ht="13.5" customHeight="1" x14ac:dyDescent="0.2">
      <c r="A29" s="37"/>
      <c r="B29" s="15"/>
      <c r="C29" s="3"/>
      <c r="D29" s="3"/>
      <c r="E29" s="3"/>
      <c r="F29" s="3"/>
      <c r="G29" s="3"/>
      <c r="H29" s="3"/>
      <c r="I29" s="3"/>
      <c r="J29" s="3"/>
      <c r="L29" s="39"/>
      <c r="N29" s="39"/>
      <c r="O29" s="39"/>
      <c r="P29" s="39"/>
      <c r="Q29" s="39"/>
      <c r="R29" s="39"/>
    </row>
    <row r="30" spans="1:18" ht="13.5" customHeight="1" x14ac:dyDescent="0.2">
      <c r="A30" s="37"/>
      <c r="B30" s="17" t="s">
        <v>28</v>
      </c>
      <c r="C30" s="84">
        <f>IF((ROUND('Skema1-7_2015'!C30,0))=0,"-",((('Skema1-7_2016'!C30-'Skema1-7_2015'!C30)/'Skema1-7_2015'!C30))*100)</f>
        <v>1.4969229917231743</v>
      </c>
      <c r="D30" s="153">
        <f>IF((ROUND('Skema1-7_2015'!D30,0))=0,"-",((('Skema1-7_2016'!D30-'Skema1-7_2015'!D30)/'Skema1-7_2015'!D30))*100)</f>
        <v>166.19723613291083</v>
      </c>
      <c r="E30" s="153">
        <f>IF((ROUND('Skema1-7_2015'!E30,0))=0,"-",((('Skema1-7_2016'!E30-'Skema1-7_2015'!E30)/'Skema1-7_2015'!E30))*100)</f>
        <v>-2.7861789142814408</v>
      </c>
      <c r="F30" s="153" t="str">
        <f>IF((ROUND('Skema1-7_2015'!F30,0))=0,"-",((('Skema1-7_2016'!F30-'Skema1-7_2015'!F30)/'Skema1-7_2015'!F30))*100)</f>
        <v>-</v>
      </c>
      <c r="G30" s="153">
        <f>IF((ROUND('Skema1-7_2015'!G30,0))=0,"-",((('Skema1-7_2016'!G30-'Skema1-7_2015'!G30)/'Skema1-7_2015'!G30))*100)</f>
        <v>123.00999564298105</v>
      </c>
      <c r="H30" s="153">
        <f>IF((ROUND('Skema1-7_2015'!H30,0))=0,"-",((('Skema1-7_2016'!H30-'Skema1-7_2015'!H30)/'Skema1-7_2015'!H30))*100)</f>
        <v>-12.795324620978363</v>
      </c>
      <c r="I30" s="153">
        <f>IF((ROUND('Skema1-7_2015'!I30,0))=0,"-",((('Skema1-7_2016'!I30-'Skema1-7_2015'!I30)/'Skema1-7_2015'!I30))*100)</f>
        <v>41.550638225470223</v>
      </c>
      <c r="J30" s="194">
        <f>IF((ROUND('Skema1-7_2015'!J30,0))=0,"-",((('Skema1-7_2016'!J30-'Skema1-7_2015'!J30)/'Skema1-7_2015'!J30))*100)</f>
        <v>0.10641074285837981</v>
      </c>
      <c r="L30" s="47"/>
      <c r="N30" s="39"/>
      <c r="O30" s="39"/>
      <c r="P30" s="39"/>
      <c r="Q30" s="39"/>
      <c r="R30" s="39"/>
    </row>
    <row r="31" spans="1:18" ht="13.5" customHeight="1" x14ac:dyDescent="0.2">
      <c r="A31" s="37"/>
      <c r="B31" s="19" t="s">
        <v>29</v>
      </c>
      <c r="C31" s="85">
        <f>IF((ROUND('Skema1-7_2015'!C31,0))=0,"-",((('Skema1-7_2016'!C31-'Skema1-7_2015'!C31)/'Skema1-7_2015'!C31))*100)</f>
        <v>0.66202312019703613</v>
      </c>
      <c r="D31" s="85">
        <f>IF((ROUND('Skema1-7_2015'!D31,0))=0,"-",((('Skema1-7_2016'!D31-'Skema1-7_2015'!D31)/'Skema1-7_2015'!D31))*100)</f>
        <v>8.5896609986060461</v>
      </c>
      <c r="E31" s="85">
        <f>IF((ROUND('Skema1-7_2015'!E31,0))=0,"-",((('Skema1-7_2016'!E31-'Skema1-7_2015'!E31)/'Skema1-7_2015'!E31))*100)</f>
        <v>9.9761327826744175</v>
      </c>
      <c r="F31" s="85">
        <f>IF((ROUND('Skema1-7_2015'!F31,0))=0,"-",((('Skema1-7_2016'!F31-'Skema1-7_2015'!F31)/'Skema1-7_2015'!F31))*100)</f>
        <v>-100</v>
      </c>
      <c r="G31" s="85">
        <f>IF((ROUND('Skema1-7_2015'!G31,0))=0,"-",((('Skema1-7_2016'!G31-'Skema1-7_2015'!G31)/'Skema1-7_2015'!G31))*100)</f>
        <v>38.928048011529484</v>
      </c>
      <c r="H31" s="85">
        <f>IF((ROUND('Skema1-7_2015'!H31,0))=0,"-",((('Skema1-7_2016'!H31-'Skema1-7_2015'!H31)/'Skema1-7_2015'!H31))*100)</f>
        <v>9.9091506506971978</v>
      </c>
      <c r="I31" s="81">
        <f>IF((ROUND('Skema1-7_2015'!I31,0))=0,"-",((('Skema1-7_2016'!I31-'Skema1-7_2015'!I31)/'Skema1-7_2015'!I31))*100)</f>
        <v>2333.1408038884615</v>
      </c>
      <c r="J31" s="195">
        <f>IF((ROUND('Skema1-7_2015'!J31,0))=0,"-",((('Skema1-7_2016'!J31-'Skema1-7_2015'!J31)/'Skema1-7_2015'!J31))*100)</f>
        <v>1.2032329758938416</v>
      </c>
      <c r="L31" s="47"/>
      <c r="N31" s="46"/>
      <c r="O31" s="46"/>
      <c r="P31" s="46"/>
      <c r="Q31" s="39"/>
      <c r="R31" s="39"/>
    </row>
    <row r="32" spans="1:18" ht="13.5" customHeight="1" x14ac:dyDescent="0.2">
      <c r="A32" s="37"/>
      <c r="B32" s="19" t="s">
        <v>30</v>
      </c>
      <c r="C32" s="85">
        <f>IF((ROUND('Skema1-7_2015'!C32,0))=0,"-",((('Skema1-7_2016'!C32-'Skema1-7_2015'!C32)/'Skema1-7_2015'!C32))*100)</f>
        <v>0.84458371982553193</v>
      </c>
      <c r="D32" s="85">
        <f>IF((ROUND('Skema1-7_2015'!D32,0))=0,"-",((('Skema1-7_2016'!D32-'Skema1-7_2015'!D32)/'Skema1-7_2015'!D32))*100)</f>
        <v>-18.208248232722468</v>
      </c>
      <c r="E32" s="85">
        <f>IF((ROUND('Skema1-7_2015'!E32,0))=0,"-",((('Skema1-7_2016'!E32-'Skema1-7_2015'!E32)/'Skema1-7_2015'!E32))*100)</f>
        <v>-2.2801402112122982</v>
      </c>
      <c r="F32" s="85">
        <f>IF((ROUND('Skema1-7_2015'!F32,0))=0,"-",((('Skema1-7_2016'!F32-'Skema1-7_2015'!F32)/'Skema1-7_2015'!F32))*100)</f>
        <v>-4.8743955410485071</v>
      </c>
      <c r="G32" s="85">
        <f>IF((ROUND('Skema1-7_2015'!G32,0))=0,"-",((('Skema1-7_2016'!G32-'Skema1-7_2015'!G32)/'Skema1-7_2015'!G32))*100)</f>
        <v>10.063146013136606</v>
      </c>
      <c r="H32" s="85">
        <f>IF((ROUND('Skema1-7_2015'!H32,0))=0,"-",((('Skema1-7_2016'!H32-'Skema1-7_2015'!H32)/'Skema1-7_2015'!H32))*100)</f>
        <v>8.7323882575047911</v>
      </c>
      <c r="I32" s="81" t="str">
        <f>IF((ROUND('Skema1-7_2015'!I32,0))=0,"-",((('Skema1-7_2016'!I32-'Skema1-7_2015'!I32)/'Skema1-7_2015'!I32))*100)</f>
        <v>-</v>
      </c>
      <c r="J32" s="195">
        <f>IF((ROUND('Skema1-7_2015'!J32,0))=0,"-",((('Skema1-7_2016'!J32-'Skema1-7_2015'!J32)/'Skema1-7_2015'!J32))*100)</f>
        <v>-0.13874805022077255</v>
      </c>
      <c r="L32" s="47"/>
      <c r="N32" s="46"/>
      <c r="O32" s="46"/>
      <c r="P32" s="46"/>
      <c r="Q32" s="39"/>
      <c r="R32" s="39"/>
    </row>
    <row r="33" spans="1:18" ht="13.5" customHeight="1" x14ac:dyDescent="0.2">
      <c r="A33" s="37"/>
      <c r="B33" s="19" t="s">
        <v>31</v>
      </c>
      <c r="C33" s="85">
        <f>IF((ROUND('Skema1-7_2015'!C33,0))=0,"-",((('Skema1-7_2016'!C33-'Skema1-7_2015'!C33)/'Skema1-7_2015'!C33))*100)</f>
        <v>0.62818316161019416</v>
      </c>
      <c r="D33" s="85">
        <f>IF((ROUND('Skema1-7_2015'!D33,0))=0,"-",((('Skema1-7_2016'!D33-'Skema1-7_2015'!D33)/'Skema1-7_2015'!D33))*100)</f>
        <v>12.376649644847392</v>
      </c>
      <c r="E33" s="85">
        <f>IF((ROUND('Skema1-7_2015'!E33,0))=0,"-",((('Skema1-7_2016'!E33-'Skema1-7_2015'!E33)/'Skema1-7_2015'!E33))*100)</f>
        <v>-0.15400475063300001</v>
      </c>
      <c r="F33" s="85">
        <f>IF((ROUND('Skema1-7_2015'!F33,0))=0,"-",((('Skema1-7_2016'!F33-'Skema1-7_2015'!F33)/'Skema1-7_2015'!F33))*100)</f>
        <v>-100</v>
      </c>
      <c r="G33" s="85">
        <f>IF((ROUND('Skema1-7_2015'!G33,0))=0,"-",((('Skema1-7_2016'!G33-'Skema1-7_2015'!G33)/'Skema1-7_2015'!G33))*100)</f>
        <v>-3.8340986749473593</v>
      </c>
      <c r="H33" s="85">
        <f>IF((ROUND('Skema1-7_2015'!H33,0))=0,"-",((('Skema1-7_2016'!H33-'Skema1-7_2015'!H33)/'Skema1-7_2015'!H33))*100)</f>
        <v>16.773003886600424</v>
      </c>
      <c r="I33" s="81">
        <f>IF((ROUND('Skema1-7_2015'!I33,0))=0,"-",((('Skema1-7_2016'!I33-'Skema1-7_2015'!I33)/'Skema1-7_2015'!I33))*100)</f>
        <v>-157.23454194304023</v>
      </c>
      <c r="J33" s="195">
        <f>IF((ROUND('Skema1-7_2015'!J33,0))=0,"-",((('Skema1-7_2016'!J33-'Skema1-7_2015'!J33)/'Skema1-7_2015'!J33))*100)</f>
        <v>1.3868050510082104</v>
      </c>
      <c r="L33" s="47"/>
      <c r="N33" s="46"/>
      <c r="O33" s="46"/>
      <c r="P33" s="46"/>
      <c r="Q33" s="39"/>
      <c r="R33" s="39"/>
    </row>
    <row r="34" spans="1:18" ht="13.5" customHeight="1" x14ac:dyDescent="0.2">
      <c r="A34" s="38"/>
      <c r="B34" s="20" t="s">
        <v>32</v>
      </c>
      <c r="C34" s="86">
        <f>IF((ROUND('Skema1-7_2015'!C34,0))=0,"-",((('Skema1-7_2016'!C34-'Skema1-7_2015'!C34)/'Skema1-7_2015'!C34))*100)</f>
        <v>-0.86563116520107075</v>
      </c>
      <c r="D34" s="86">
        <f>IF((ROUND('Skema1-7_2015'!D34,0))=0,"-",((('Skema1-7_2016'!D34-'Skema1-7_2015'!D34)/'Skema1-7_2015'!D34))*100)</f>
        <v>19.48972590501824</v>
      </c>
      <c r="E34" s="86">
        <f>IF((ROUND('Skema1-7_2015'!E34,0))=0,"-",((('Skema1-7_2016'!E34-'Skema1-7_2015'!E34)/'Skema1-7_2015'!E34))*100)</f>
        <v>9.3292175247227362</v>
      </c>
      <c r="F34" s="86">
        <f>IF((ROUND('Skema1-7_2015'!F34,0))=0,"-",((('Skema1-7_2016'!F34-'Skema1-7_2015'!F34)/'Skema1-7_2015'!F34))*100)</f>
        <v>-100</v>
      </c>
      <c r="G34" s="86">
        <f>IF((ROUND('Skema1-7_2015'!G34,0))=0,"-",((('Skema1-7_2016'!G34-'Skema1-7_2015'!G34)/'Skema1-7_2015'!G34))*100)</f>
        <v>8.1880472510617182</v>
      </c>
      <c r="H34" s="86">
        <f>IF((ROUND('Skema1-7_2015'!H34,0))=0,"-",((('Skema1-7_2016'!H34-'Skema1-7_2015'!H34)/'Skema1-7_2015'!H34))*100)</f>
        <v>-5.3813368672470094</v>
      </c>
      <c r="I34" s="86" t="str">
        <f>IF((ROUND('Skema1-7_2015'!I34,0))=0,"-",((('Skema1-7_2016'!I34-'Skema1-7_2015'!I34)/'Skema1-7_2015'!I34))*100)</f>
        <v>-</v>
      </c>
      <c r="J34" s="196">
        <f>IF((ROUND('Skema1-7_2015'!J34,0))=0,"-",((('Skema1-7_2016'!J34-'Skema1-7_2015'!J34)/'Skema1-7_2015'!J34))*100)</f>
        <v>1.0356327767421603</v>
      </c>
      <c r="L34" s="47"/>
      <c r="N34" s="46"/>
      <c r="O34" s="46"/>
      <c r="P34" s="46"/>
      <c r="Q34" s="39"/>
      <c r="R34" s="39"/>
    </row>
    <row r="35" spans="1:18" ht="13.5" customHeight="1" x14ac:dyDescent="0.2">
      <c r="A35" s="38"/>
      <c r="B35" s="13" t="s">
        <v>14</v>
      </c>
      <c r="C35" s="87">
        <f>IF((ROUND('Skema1-7_2015'!C35,0))=0,"-",((('Skema1-7_2016'!C35-'Skema1-7_2015'!C35)/'Skema1-7_2015'!C35))*100)</f>
        <v>0.78739655917948914</v>
      </c>
      <c r="D35" s="87">
        <f>IF((ROUND('Skema1-7_2015'!D35,0))=0,"-",((('Skema1-7_2016'!D35-'Skema1-7_2015'!D35)/'Skema1-7_2015'!D35))*100)</f>
        <v>15.805563121421921</v>
      </c>
      <c r="E35" s="87">
        <f>IF((ROUND('Skema1-7_2015'!E35,0))=0,"-",((('Skema1-7_2016'!E35-'Skema1-7_2015'!E35)/'Skema1-7_2015'!E35))*100)</f>
        <v>-0.43655409706770781</v>
      </c>
      <c r="F35" s="87">
        <f>IF((ROUND('Skema1-7_2015'!F35,0))=0,"-",((('Skema1-7_2016'!F35-'Skema1-7_2015'!F35)/'Skema1-7_2015'!F35))*100)</f>
        <v>-36.809964607638726</v>
      </c>
      <c r="G35" s="87">
        <f>IF((ROUND('Skema1-7_2015'!G35,0))=0,"-",((('Skema1-7_2016'!G35-'Skema1-7_2015'!G35)/'Skema1-7_2015'!G35))*100)</f>
        <v>51.952135448986901</v>
      </c>
      <c r="H35" s="87">
        <f>IF((ROUND('Skema1-7_2015'!H35,0))=0,"-",((('Skema1-7_2016'!H35-'Skema1-7_2015'!H35)/'Skema1-7_2015'!H35))*100)</f>
        <v>-39.068087808145513</v>
      </c>
      <c r="I35" s="87">
        <f>IF((ROUND('Skema1-7_2015'!I35,0))=0,"-",((('Skema1-7_2016'!I35-'Skema1-7_2015'!I35)/'Skema1-7_2015'!I35))*100)</f>
        <v>251.25017928023522</v>
      </c>
      <c r="J35" s="197">
        <f>IF((ROUND('Skema1-7_2015'!J35,0))=0,"-",((('Skema1-7_2016'!J35-'Skema1-7_2015'!J35)/'Skema1-7_2015'!J35))*100)</f>
        <v>0.55706708609155375</v>
      </c>
      <c r="L35" s="39"/>
      <c r="M35" s="39"/>
      <c r="N35" s="46"/>
      <c r="O35" s="46"/>
      <c r="P35" s="46"/>
      <c r="Q35" s="39"/>
      <c r="R35" s="39"/>
    </row>
    <row r="36" spans="1:18" ht="13.5" customHeight="1" x14ac:dyDescent="0.2">
      <c r="C36" s="25"/>
      <c r="N36" s="39"/>
      <c r="O36" s="39"/>
      <c r="P36" s="39"/>
      <c r="Q36" s="39"/>
      <c r="R36" s="39"/>
    </row>
    <row r="37" spans="1:18" ht="13.5" customHeight="1" x14ac:dyDescent="0.2">
      <c r="D37" s="36"/>
      <c r="E37" s="36"/>
      <c r="N37" s="39"/>
      <c r="O37" s="39"/>
      <c r="P37" s="39"/>
      <c r="Q37" s="39"/>
      <c r="R37" s="39"/>
    </row>
    <row r="38" spans="1:18" ht="13.5" customHeight="1" x14ac:dyDescent="0.2">
      <c r="N38" s="39"/>
      <c r="O38" s="39"/>
      <c r="P38" s="39"/>
      <c r="Q38" s="39"/>
      <c r="R38" s="39"/>
    </row>
    <row r="39" spans="1:18" ht="13.5" customHeight="1" x14ac:dyDescent="0.2">
      <c r="N39" s="39"/>
      <c r="O39" s="39"/>
      <c r="P39" s="39"/>
      <c r="Q39" s="39"/>
      <c r="R39" s="39"/>
    </row>
    <row r="40" spans="1:18" ht="13.5" customHeight="1" x14ac:dyDescent="0.2">
      <c r="N40" s="39"/>
      <c r="O40" s="39"/>
      <c r="P40" s="39"/>
      <c r="Q40" s="39"/>
      <c r="R40" s="39"/>
    </row>
    <row r="41" spans="1:18" ht="13.5" customHeight="1" x14ac:dyDescent="0.2">
      <c r="N41" s="39"/>
      <c r="O41" s="39"/>
      <c r="P41" s="39"/>
      <c r="Q41" s="39"/>
      <c r="R41" s="39"/>
    </row>
    <row r="42" spans="1:18" ht="13.5" customHeight="1" x14ac:dyDescent="0.2">
      <c r="N42" s="39"/>
      <c r="O42" s="39"/>
      <c r="P42" s="39"/>
      <c r="Q42" s="39"/>
      <c r="R42" s="39"/>
    </row>
    <row r="43" spans="1:18" ht="13.5" customHeight="1" x14ac:dyDescent="0.2">
      <c r="N43" s="39"/>
      <c r="O43" s="39"/>
      <c r="P43" s="39"/>
      <c r="Q43" s="39"/>
      <c r="R43" s="39"/>
    </row>
    <row r="44" spans="1:18" x14ac:dyDescent="0.2">
      <c r="N44" s="39"/>
      <c r="O44" s="39"/>
      <c r="P44" s="39"/>
      <c r="Q44" s="39"/>
      <c r="R44" s="39"/>
    </row>
  </sheetData>
  <pageMargins left="0.51181102362204722" right="0.43307086614173229" top="0.51181102362204722" bottom="0.19685039370078741" header="0.23622047244094491" footer="0.23622047244094491"/>
  <pageSetup paperSize="9" scale="64" orientation="landscape" horizontalDpi="300" verticalDpi="300" r:id="rId1"/>
  <headerFooter alignWithMargins="0">
    <oddHeader>&amp;CSide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2" zoomScaleNormal="100" workbookViewId="0">
      <selection activeCell="F5" sqref="F5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8" width="9.140625" style="24"/>
    <col min="9" max="9" width="9.140625" style="24" customWidth="1"/>
    <col min="10" max="16384" width="9.140625" style="24"/>
  </cols>
  <sheetData>
    <row r="1" spans="1:14" ht="15.75" x14ac:dyDescent="0.25">
      <c r="A1" s="72" t="str">
        <f>'Skema1-7_2015'!A1</f>
        <v>Endelig version 31. januar 2018</v>
      </c>
    </row>
    <row r="2" spans="1:14" ht="13.5" customHeight="1" x14ac:dyDescent="0.2">
      <c r="A2" s="89" t="s">
        <v>176</v>
      </c>
      <c r="B2" s="39"/>
      <c r="C2" s="28"/>
      <c r="D2" s="38"/>
    </row>
    <row r="3" spans="1:14" ht="13.5" customHeight="1" x14ac:dyDescent="0.2">
      <c r="A3" s="90" t="s">
        <v>38</v>
      </c>
      <c r="B3" s="39"/>
      <c r="C3" s="28"/>
    </row>
    <row r="4" spans="1:14" ht="54" customHeight="1" x14ac:dyDescent="0.2">
      <c r="A4" s="73" t="s">
        <v>6</v>
      </c>
      <c r="B4" s="73" t="s">
        <v>0</v>
      </c>
      <c r="C4" s="12" t="s">
        <v>15</v>
      </c>
      <c r="D4" s="12" t="s">
        <v>16</v>
      </c>
      <c r="E4" s="12" t="s">
        <v>23</v>
      </c>
      <c r="F4" s="12" t="s">
        <v>21</v>
      </c>
      <c r="G4" s="12" t="s">
        <v>22</v>
      </c>
    </row>
    <row r="5" spans="1:14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96">
        <f>'Skema1-7_2015'!J5</f>
        <v>8884181.7613955289</v>
      </c>
      <c r="D5" s="82">
        <v>230928.33870784895</v>
      </c>
      <c r="E5" s="82">
        <f>C5-D5</f>
        <v>8653253.4226876795</v>
      </c>
      <c r="F5" s="82">
        <f>1345724.20166227</f>
        <v>1345724.2016622699</v>
      </c>
      <c r="G5" s="91">
        <f>E5-F5</f>
        <v>7307529.2210254092</v>
      </c>
      <c r="I5" s="3"/>
      <c r="J5" s="3"/>
      <c r="K5" s="39"/>
      <c r="L5" s="3"/>
      <c r="M5" s="3"/>
      <c r="N5" s="35"/>
    </row>
    <row r="6" spans="1:14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96">
        <f>'Skema1-7_2015'!J6</f>
        <v>2703169.8070976897</v>
      </c>
      <c r="D6" s="82">
        <v>85064.764493147988</v>
      </c>
      <c r="E6" s="82">
        <f t="shared" ref="E6:E27" si="0">C6-D6</f>
        <v>2618105.0426045419</v>
      </c>
      <c r="F6" s="82">
        <v>161408.53241037895</v>
      </c>
      <c r="G6" s="91">
        <f t="shared" ref="G6:G27" si="1">E6-F6</f>
        <v>2456696.5101941628</v>
      </c>
      <c r="I6" s="3"/>
      <c r="J6" s="3"/>
      <c r="K6" s="39"/>
      <c r="L6" s="3"/>
      <c r="M6" s="3"/>
    </row>
    <row r="7" spans="1:14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96">
        <f>'Skema1-7_2015'!J7</f>
        <v>3054402.4004626828</v>
      </c>
      <c r="D7" s="82">
        <v>54792.165649493567</v>
      </c>
      <c r="E7" s="82">
        <f t="shared" si="0"/>
        <v>2999610.2348131891</v>
      </c>
      <c r="F7" s="82">
        <v>154563.66131546177</v>
      </c>
      <c r="G7" s="91">
        <f t="shared" si="1"/>
        <v>2845046.5734977275</v>
      </c>
      <c r="I7" s="3"/>
      <c r="J7" s="3"/>
      <c r="K7" s="39"/>
      <c r="L7" s="3"/>
      <c r="M7" s="92"/>
    </row>
    <row r="8" spans="1:14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96">
        <f>'Skema1-7_2015'!J8</f>
        <v>4972836.824654324</v>
      </c>
      <c r="D8" s="82">
        <v>109328.00473999995</v>
      </c>
      <c r="E8" s="82">
        <f t="shared" si="0"/>
        <v>4863508.8199143242</v>
      </c>
      <c r="F8" s="82">
        <v>587411.6336857077</v>
      </c>
      <c r="G8" s="91">
        <f t="shared" si="1"/>
        <v>4276097.1862286162</v>
      </c>
      <c r="I8" s="3"/>
      <c r="J8" s="3"/>
      <c r="K8" s="39"/>
      <c r="L8" s="3"/>
      <c r="M8" s="3"/>
    </row>
    <row r="9" spans="1:14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96">
        <f>'Skema1-7_2015'!J9</f>
        <v>2487074.9956219988</v>
      </c>
      <c r="D9" s="82">
        <v>30683.253369999995</v>
      </c>
      <c r="E9" s="82">
        <f t="shared" si="0"/>
        <v>2456391.7422519987</v>
      </c>
      <c r="F9" s="82">
        <v>132053.23171444295</v>
      </c>
      <c r="G9" s="91">
        <f t="shared" si="1"/>
        <v>2324338.5105375559</v>
      </c>
      <c r="I9" s="3"/>
      <c r="J9" s="3"/>
      <c r="K9" s="39"/>
      <c r="L9" s="3"/>
      <c r="M9" s="3"/>
    </row>
    <row r="10" spans="1:14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96">
        <f>'Skema1-7_2015'!J10</f>
        <v>404679.67381624551</v>
      </c>
      <c r="D10" s="82">
        <v>0</v>
      </c>
      <c r="E10" s="82">
        <f t="shared" si="0"/>
        <v>404679.67381624551</v>
      </c>
      <c r="F10" s="82">
        <v>27022.158005186204</v>
      </c>
      <c r="G10" s="91">
        <f t="shared" si="1"/>
        <v>377657.51581105933</v>
      </c>
      <c r="I10" s="3"/>
      <c r="J10" s="3"/>
      <c r="K10" s="39"/>
      <c r="L10" s="3"/>
      <c r="M10" s="3"/>
    </row>
    <row r="11" spans="1:14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96">
        <f>'Skema1-7_2015'!J11</f>
        <v>3247436.356954101</v>
      </c>
      <c r="D11" s="82">
        <v>82188.741999999998</v>
      </c>
      <c r="E11" s="82">
        <f t="shared" si="0"/>
        <v>3165247.6149541009</v>
      </c>
      <c r="F11" s="82">
        <v>461206.28445674782</v>
      </c>
      <c r="G11" s="91">
        <f t="shared" si="1"/>
        <v>2704041.3304973533</v>
      </c>
      <c r="I11" s="3"/>
      <c r="J11" s="3"/>
      <c r="K11" s="39"/>
      <c r="L11" s="3"/>
      <c r="M11" s="3"/>
    </row>
    <row r="12" spans="1:14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96">
        <f>'Skema1-7_2015'!J12</f>
        <v>1150348.0269932221</v>
      </c>
      <c r="D12" s="82">
        <v>17165.285</v>
      </c>
      <c r="E12" s="82">
        <f t="shared" si="0"/>
        <v>1133182.7419932222</v>
      </c>
      <c r="F12" s="82">
        <v>61424.001771865405</v>
      </c>
      <c r="G12" s="91">
        <f t="shared" si="1"/>
        <v>1071758.7402213567</v>
      </c>
      <c r="I12" s="3"/>
      <c r="J12" s="3"/>
      <c r="K12" s="39"/>
      <c r="L12" s="3"/>
      <c r="M12" s="3"/>
    </row>
    <row r="13" spans="1:14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96">
        <f>'Skema1-7_2015'!J13</f>
        <v>2536293.1045509996</v>
      </c>
      <c r="D13" s="82">
        <v>33254.763999999996</v>
      </c>
      <c r="E13" s="82">
        <f t="shared" si="0"/>
        <v>2503038.3405509996</v>
      </c>
      <c r="F13" s="82">
        <v>179508.31924436358</v>
      </c>
      <c r="G13" s="91">
        <f t="shared" si="1"/>
        <v>2323530.0213066358</v>
      </c>
      <c r="I13" s="3"/>
      <c r="J13" s="3"/>
      <c r="K13" s="39"/>
      <c r="L13" s="3"/>
      <c r="M13" s="3"/>
    </row>
    <row r="14" spans="1:14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96">
        <f>'Skema1-7_2015'!J14</f>
        <v>875394.49219241866</v>
      </c>
      <c r="D14" s="82">
        <v>5275.7039999999997</v>
      </c>
      <c r="E14" s="82">
        <f t="shared" si="0"/>
        <v>870118.78819241864</v>
      </c>
      <c r="F14" s="82">
        <v>14522.254792565886</v>
      </c>
      <c r="G14" s="91">
        <f t="shared" si="1"/>
        <v>855596.53339985281</v>
      </c>
      <c r="I14" s="3"/>
      <c r="J14" s="3"/>
      <c r="K14" s="39"/>
      <c r="L14" s="3"/>
      <c r="M14" s="3"/>
    </row>
    <row r="15" spans="1:14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96">
        <f>'Skema1-7_2015'!J15</f>
        <v>6712206.8839999996</v>
      </c>
      <c r="D15" s="82">
        <v>166094</v>
      </c>
      <c r="E15" s="82">
        <f t="shared" si="0"/>
        <v>6546112.8839999996</v>
      </c>
      <c r="F15" s="82">
        <v>753701.18935273902</v>
      </c>
      <c r="G15" s="91">
        <f t="shared" si="1"/>
        <v>5792411.6946472609</v>
      </c>
      <c r="I15" s="3"/>
      <c r="J15" s="3"/>
      <c r="K15" s="39"/>
      <c r="L15" s="3"/>
      <c r="M15" s="3"/>
    </row>
    <row r="16" spans="1:14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96">
        <f>'Skema1-7_2015'!J16</f>
        <v>1739949.0599999998</v>
      </c>
      <c r="D16" s="82">
        <v>12505.484999999999</v>
      </c>
      <c r="E16" s="82">
        <f t="shared" si="0"/>
        <v>1727443.5749999997</v>
      </c>
      <c r="F16" s="82">
        <v>121155.31000465587</v>
      </c>
      <c r="G16" s="91">
        <f t="shared" si="1"/>
        <v>1606288.2649953438</v>
      </c>
      <c r="I16" s="3"/>
      <c r="J16" s="3"/>
      <c r="K16" s="39"/>
      <c r="L16" s="3"/>
      <c r="M16" s="3"/>
    </row>
    <row r="17" spans="1:13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96">
        <f>'Skema1-7_2015'!J17</f>
        <v>1773004.2629999998</v>
      </c>
      <c r="D17" s="82">
        <v>11563.394999999999</v>
      </c>
      <c r="E17" s="82">
        <f t="shared" si="0"/>
        <v>1761440.8679999998</v>
      </c>
      <c r="F17" s="82">
        <v>146073.42750892811</v>
      </c>
      <c r="G17" s="91">
        <f t="shared" si="1"/>
        <v>1615367.4404910717</v>
      </c>
      <c r="I17" s="3"/>
      <c r="J17" s="3"/>
      <c r="K17" s="39"/>
      <c r="L17" s="3"/>
      <c r="M17" s="3"/>
    </row>
    <row r="18" spans="1:13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96">
        <f>'Skema1-7_2015'!J18</f>
        <v>1464492.074</v>
      </c>
      <c r="D18" s="82">
        <v>26221.0998</v>
      </c>
      <c r="E18" s="82">
        <f t="shared" si="0"/>
        <v>1438270.9742000001</v>
      </c>
      <c r="F18" s="82">
        <v>76466.532144341691</v>
      </c>
      <c r="G18" s="91">
        <f t="shared" si="1"/>
        <v>1361804.4420556584</v>
      </c>
      <c r="I18" s="3"/>
      <c r="J18" s="3"/>
      <c r="K18" s="39"/>
      <c r="L18" s="3"/>
      <c r="M18" s="3"/>
    </row>
    <row r="19" spans="1:13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96">
        <f>'Skema1-7_2015'!J19</f>
        <v>1757681.6249999998</v>
      </c>
      <c r="D19" s="82">
        <v>61182.566199999994</v>
      </c>
      <c r="E19" s="82">
        <f t="shared" si="0"/>
        <v>1696499.0587999998</v>
      </c>
      <c r="F19" s="82">
        <v>299565.61991195881</v>
      </c>
      <c r="G19" s="91">
        <f t="shared" si="1"/>
        <v>1396933.4388880408</v>
      </c>
      <c r="I19" s="3"/>
      <c r="J19" s="3"/>
      <c r="K19" s="39"/>
      <c r="L19" s="3"/>
      <c r="M19" s="3"/>
    </row>
    <row r="20" spans="1:13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96">
        <f>'Skema1-7_2015'!J20</f>
        <v>80118.17</v>
      </c>
      <c r="D20" s="82">
        <v>0</v>
      </c>
      <c r="E20" s="82">
        <f t="shared" si="0"/>
        <v>80118.17</v>
      </c>
      <c r="F20" s="82">
        <v>464.93134239999995</v>
      </c>
      <c r="G20" s="91">
        <f t="shared" si="1"/>
        <v>79653.238657599999</v>
      </c>
      <c r="I20" s="3"/>
      <c r="J20" s="3"/>
      <c r="K20" s="39"/>
      <c r="L20" s="3"/>
      <c r="M20" s="3"/>
    </row>
    <row r="21" spans="1:13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96">
        <f>'Skema1-7_2015'!J21</f>
        <v>994227.08399999992</v>
      </c>
      <c r="D21" s="82">
        <v>7899.3739999999989</v>
      </c>
      <c r="E21" s="82">
        <f t="shared" si="0"/>
        <v>986327.71</v>
      </c>
      <c r="F21" s="82">
        <v>34338.04685195932</v>
      </c>
      <c r="G21" s="91">
        <f t="shared" si="1"/>
        <v>951989.66314804065</v>
      </c>
      <c r="I21" s="3"/>
      <c r="J21" s="3"/>
      <c r="K21" s="39"/>
      <c r="L21" s="3"/>
      <c r="M21" s="3"/>
    </row>
    <row r="22" spans="1:13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96">
        <f>'Skema1-7_2015'!J22</f>
        <v>2260488.227</v>
      </c>
      <c r="D22" s="82">
        <v>27231.465999999997</v>
      </c>
      <c r="E22" s="82">
        <f t="shared" si="0"/>
        <v>2233256.7609999999</v>
      </c>
      <c r="F22" s="82">
        <v>250485.86523739013</v>
      </c>
      <c r="G22" s="91">
        <f t="shared" si="1"/>
        <v>1982770.8957626098</v>
      </c>
      <c r="I22" s="3"/>
      <c r="J22" s="3"/>
      <c r="K22" s="39"/>
      <c r="L22" s="3"/>
      <c r="M22" s="3"/>
    </row>
    <row r="23" spans="1:13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96">
        <f>'Skema1-7_2015'!J23</f>
        <v>7149732.726999999</v>
      </c>
      <c r="D23" s="82">
        <v>167662.64299999998</v>
      </c>
      <c r="E23" s="82">
        <f t="shared" si="0"/>
        <v>6982070.0839999989</v>
      </c>
      <c r="F23" s="82">
        <v>1034259.6625607265</v>
      </c>
      <c r="G23" s="91">
        <f t="shared" si="1"/>
        <v>5947810.4214392724</v>
      </c>
      <c r="I23" s="3"/>
      <c r="J23" s="3"/>
      <c r="K23" s="39"/>
      <c r="L23" s="3"/>
      <c r="M23" s="3"/>
    </row>
    <row r="24" spans="1:13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96">
        <f>'Skema1-7_2015'!J24</f>
        <v>1112611.3289999999</v>
      </c>
      <c r="D24" s="82">
        <v>13147.726999999999</v>
      </c>
      <c r="E24" s="82">
        <f t="shared" si="0"/>
        <v>1099463.602</v>
      </c>
      <c r="F24" s="82">
        <v>35662.276542815365</v>
      </c>
      <c r="G24" s="91">
        <f t="shared" si="1"/>
        <v>1063801.3254571846</v>
      </c>
      <c r="I24" s="3"/>
      <c r="J24" s="3"/>
      <c r="K24" s="39"/>
      <c r="L24" s="3"/>
      <c r="M24" s="3"/>
    </row>
    <row r="25" spans="1:13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96">
        <f>'Skema1-7_2015'!J25</f>
        <v>2590910.5929999999</v>
      </c>
      <c r="D25" s="82">
        <v>52427.814999999995</v>
      </c>
      <c r="E25" s="82">
        <f t="shared" si="0"/>
        <v>2538482.7779999999</v>
      </c>
      <c r="F25" s="82">
        <v>153642.73872921569</v>
      </c>
      <c r="G25" s="91">
        <f t="shared" si="1"/>
        <v>2384840.0392707842</v>
      </c>
      <c r="I25" s="3"/>
      <c r="J25" s="3"/>
      <c r="K25" s="39"/>
      <c r="L25" s="3"/>
      <c r="M25" s="3"/>
    </row>
    <row r="26" spans="1:13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96">
        <f>'Skema1-7_2015'!J26</f>
        <v>4463880.9973813593</v>
      </c>
      <c r="D26" s="82">
        <v>159112.92299999998</v>
      </c>
      <c r="E26" s="82">
        <f t="shared" si="0"/>
        <v>4304768.0743813589</v>
      </c>
      <c r="F26" s="82">
        <v>411532.26299999998</v>
      </c>
      <c r="G26" s="91">
        <f t="shared" si="1"/>
        <v>3893235.8113813591</v>
      </c>
      <c r="I26" s="3"/>
      <c r="J26" s="3"/>
      <c r="K26" s="39"/>
      <c r="L26" s="3"/>
      <c r="M26" s="3"/>
    </row>
    <row r="27" spans="1:13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96">
        <f>'Skema1-7_2015'!J27</f>
        <v>1393414.2828658288</v>
      </c>
      <c r="D27" s="82">
        <v>3034.9479999999999</v>
      </c>
      <c r="E27" s="82">
        <f t="shared" si="0"/>
        <v>1390379.3348658287</v>
      </c>
      <c r="F27" s="82">
        <v>50419.891830626904</v>
      </c>
      <c r="G27" s="91">
        <f t="shared" si="1"/>
        <v>1339959.4430352019</v>
      </c>
      <c r="I27" s="3"/>
      <c r="J27" s="3"/>
      <c r="K27" s="39"/>
      <c r="L27" s="3"/>
      <c r="M27" s="3"/>
    </row>
    <row r="28" spans="1:13" ht="13.5" customHeight="1" x14ac:dyDescent="0.2">
      <c r="A28" s="13"/>
      <c r="B28" s="13" t="s">
        <v>14</v>
      </c>
      <c r="C28" s="83">
        <f>SUM(C5:C27)</f>
        <v>63808534.759986401</v>
      </c>
      <c r="D28" s="83">
        <f>SUM(D5:D27)</f>
        <v>1356764.4639604904</v>
      </c>
      <c r="E28" s="83">
        <f>SUM(E5:E27)</f>
        <v>62451770.296025909</v>
      </c>
      <c r="F28" s="83">
        <f>SUM(F5:F27)</f>
        <v>6492612.0340767466</v>
      </c>
      <c r="G28" s="93">
        <f>SUM(G5:G27)</f>
        <v>55959158.261949152</v>
      </c>
      <c r="I28" s="3"/>
      <c r="J28" s="3"/>
      <c r="K28" s="39"/>
      <c r="L28" s="3"/>
      <c r="M28" s="3"/>
    </row>
    <row r="29" spans="1:13" ht="13.5" customHeight="1" x14ac:dyDescent="0.2">
      <c r="I29" s="39"/>
      <c r="J29" s="39"/>
      <c r="K29" s="39"/>
      <c r="L29" s="3"/>
      <c r="M29" s="3"/>
    </row>
    <row r="30" spans="1:13" ht="13.5" customHeight="1" x14ac:dyDescent="0.2">
      <c r="B30" s="17" t="s">
        <v>28</v>
      </c>
      <c r="C30" s="18">
        <f>SUM(C5:C10)</f>
        <v>22506345.463048469</v>
      </c>
      <c r="D30" s="18">
        <f>SUM(D5:D10)</f>
        <v>510796.52696049045</v>
      </c>
      <c r="E30" s="18">
        <f>SUM(E5:E10)</f>
        <v>21995548.936087977</v>
      </c>
      <c r="F30" s="18">
        <f>SUM(F5:F10)</f>
        <v>2408183.4187934478</v>
      </c>
      <c r="G30" s="6">
        <f>SUM(G5:G10)</f>
        <v>19587365.51729453</v>
      </c>
    </row>
    <row r="31" spans="1:13" ht="13.5" customHeight="1" x14ac:dyDescent="0.2">
      <c r="B31" s="19" t="s">
        <v>29</v>
      </c>
      <c r="C31" s="5">
        <f>SUM(C11:C14)</f>
        <v>7809471.980690741</v>
      </c>
      <c r="D31" s="5">
        <f>SUM(D11:D14)</f>
        <v>137884.495</v>
      </c>
      <c r="E31" s="5">
        <f>SUM(E11:E14)</f>
        <v>7671587.4856907418</v>
      </c>
      <c r="F31" s="5">
        <f>SUM(F11:F14)</f>
        <v>716660.86026554264</v>
      </c>
      <c r="G31" s="8">
        <f>SUM(G11:G14)</f>
        <v>6954926.625425199</v>
      </c>
    </row>
    <row r="32" spans="1:13" ht="13.5" customHeight="1" x14ac:dyDescent="0.2">
      <c r="B32" s="19" t="s">
        <v>30</v>
      </c>
      <c r="C32" s="5">
        <f>SUM(C15:C20)</f>
        <v>13527452.075999999</v>
      </c>
      <c r="D32" s="5">
        <f>SUM(D15:D20)</f>
        <v>277566.54599999997</v>
      </c>
      <c r="E32" s="5">
        <f>SUM(E15:E20)</f>
        <v>13249885.529999999</v>
      </c>
      <c r="F32" s="5">
        <f>SUM(F15:F20)</f>
        <v>1397427.0102650232</v>
      </c>
      <c r="G32" s="8">
        <f>SUM(G15:G20)</f>
        <v>11852458.519734975</v>
      </c>
    </row>
    <row r="33" spans="1:7" ht="13.5" customHeight="1" x14ac:dyDescent="0.2">
      <c r="B33" s="19" t="s">
        <v>31</v>
      </c>
      <c r="C33" s="5">
        <f>SUM(C21:C25)</f>
        <v>14107969.959999999</v>
      </c>
      <c r="D33" s="5">
        <f>SUM(D21:D25)</f>
        <v>268369.02499999997</v>
      </c>
      <c r="E33" s="5">
        <f>SUM(E21:E25)</f>
        <v>13839600.934999999</v>
      </c>
      <c r="F33" s="5">
        <f>SUM(F21:F25)</f>
        <v>1508388.5899221071</v>
      </c>
      <c r="G33" s="8">
        <f>SUM(G21:G25)</f>
        <v>12331212.345077891</v>
      </c>
    </row>
    <row r="34" spans="1:7" ht="13.5" customHeight="1" x14ac:dyDescent="0.2">
      <c r="B34" s="20" t="s">
        <v>32</v>
      </c>
      <c r="C34" s="10">
        <f>+SUM(C26:C27)</f>
        <v>5857295.2802471882</v>
      </c>
      <c r="D34" s="10">
        <f>+SUM(D26:D27)</f>
        <v>162147.87099999998</v>
      </c>
      <c r="E34" s="10">
        <f>+SUM(E26:E27)</f>
        <v>5695147.4092471879</v>
      </c>
      <c r="F34" s="10">
        <f>+SUM(F26:F27)</f>
        <v>461952.15483062691</v>
      </c>
      <c r="G34" s="21">
        <f>+SUM(G26:G27)</f>
        <v>5233195.2544165608</v>
      </c>
    </row>
    <row r="35" spans="1:7" ht="13.5" customHeight="1" x14ac:dyDescent="0.2">
      <c r="B35" s="13" t="s">
        <v>14</v>
      </c>
      <c r="C35" s="22">
        <f>SUM(C30:C34)</f>
        <v>63808534.759986401</v>
      </c>
      <c r="D35" s="94">
        <f>SUM(D30:D34)</f>
        <v>1356764.4639604904</v>
      </c>
      <c r="E35" s="94">
        <f>SUM(E30:E34)</f>
        <v>62451770.296025902</v>
      </c>
      <c r="F35" s="94">
        <f>SUM(F30:F34)</f>
        <v>6492612.0340767475</v>
      </c>
      <c r="G35" s="95">
        <f>SUM(G30:G34)</f>
        <v>55959158.261949159</v>
      </c>
    </row>
    <row r="36" spans="1:7" ht="13.5" customHeight="1" x14ac:dyDescent="0.2"/>
    <row r="37" spans="1:7" ht="13.5" customHeight="1" x14ac:dyDescent="0.2"/>
    <row r="38" spans="1:7" ht="13.5" customHeight="1" x14ac:dyDescent="0.2"/>
    <row r="39" spans="1:7" ht="13.5" customHeight="1" x14ac:dyDescent="0.2"/>
    <row r="40" spans="1:7" ht="13.5" customHeight="1" x14ac:dyDescent="0.2">
      <c r="A40" s="77"/>
      <c r="B40" s="39"/>
      <c r="C40" s="28"/>
      <c r="D40" s="39"/>
    </row>
    <row r="41" spans="1:7" ht="13.5" customHeight="1" x14ac:dyDescent="0.2">
      <c r="A41" s="77"/>
      <c r="B41" s="3"/>
      <c r="C41" s="3"/>
      <c r="D41" s="3"/>
    </row>
    <row r="42" spans="1:7" ht="13.5" customHeight="1" x14ac:dyDescent="0.2">
      <c r="A42" s="77"/>
      <c r="B42" s="3"/>
      <c r="C42" s="3"/>
      <c r="D42" s="3"/>
    </row>
    <row r="43" spans="1:7" ht="13.5" customHeight="1" x14ac:dyDescent="0.2">
      <c r="A43" s="77"/>
      <c r="B43" s="3"/>
      <c r="C43" s="3"/>
      <c r="D43" s="3"/>
    </row>
    <row r="44" spans="1:7" x14ac:dyDescent="0.2">
      <c r="A44" s="77"/>
      <c r="B44" s="3"/>
      <c r="C44" s="3"/>
      <c r="D44" s="3"/>
    </row>
    <row r="45" spans="1:7" x14ac:dyDescent="0.2">
      <c r="A45" s="77"/>
      <c r="B45" s="3"/>
      <c r="C45" s="3"/>
      <c r="D45" s="3"/>
    </row>
  </sheetData>
  <pageMargins left="0.51181102362204722" right="0.43307086614173229" top="0.51181102362204722" bottom="0.19685039370078741" header="0.23622047244094491" footer="0.23622047244094491"/>
  <pageSetup paperSize="9" scale="74" orientation="landscape" cellComments="asDisplayed" horizontalDpi="300" verticalDpi="300" r:id="rId1"/>
  <headerFooter alignWithMargins="0">
    <oddHeader>&amp;CSide &amp;P / &amp;N</oddHeader>
  </headerFooter>
  <ignoredErrors>
    <ignoredError sqref="D30:F34" formulaRange="1"/>
    <ignoredError sqref="F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Normal="100" workbookViewId="0">
      <selection activeCell="K15" sqref="K15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8" width="10.7109375" style="24" bestFit="1" customWidth="1"/>
    <col min="9" max="16384" width="9.140625" style="24"/>
  </cols>
  <sheetData>
    <row r="1" spans="1:13" ht="15.75" x14ac:dyDescent="0.25">
      <c r="A1" s="72" t="str">
        <f>'Skema1-7_2015'!A1</f>
        <v>Endelig version 31. januar 2018</v>
      </c>
    </row>
    <row r="2" spans="1:13" ht="13.5" customHeight="1" x14ac:dyDescent="0.2">
      <c r="A2" s="89" t="s">
        <v>177</v>
      </c>
      <c r="B2" s="39"/>
      <c r="C2" s="28"/>
      <c r="D2" s="38"/>
    </row>
    <row r="3" spans="1:13" ht="13.5" customHeight="1" x14ac:dyDescent="0.2">
      <c r="A3" s="90" t="s">
        <v>39</v>
      </c>
      <c r="B3" s="39"/>
      <c r="C3" s="28"/>
    </row>
    <row r="4" spans="1:13" ht="54" customHeight="1" x14ac:dyDescent="0.2">
      <c r="A4" s="73" t="s">
        <v>6</v>
      </c>
      <c r="B4" s="73" t="s">
        <v>0</v>
      </c>
      <c r="C4" s="12" t="s">
        <v>15</v>
      </c>
      <c r="D4" s="12" t="s">
        <v>16</v>
      </c>
      <c r="E4" s="12" t="s">
        <v>23</v>
      </c>
      <c r="F4" s="12" t="s">
        <v>21</v>
      </c>
      <c r="G4" s="12" t="s">
        <v>22</v>
      </c>
      <c r="I4" s="39"/>
    </row>
    <row r="5" spans="1:13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96">
        <f>+'Skema1-7_2016'!J5</f>
        <v>9080710.353700988</v>
      </c>
      <c r="D5" s="82">
        <v>277808.64519682468</v>
      </c>
      <c r="E5" s="82">
        <f>C5-D5</f>
        <v>8802901.7085041627</v>
      </c>
      <c r="F5" s="82">
        <f>1437410.24644158+22555.98617725</f>
        <v>1459966.2326188299</v>
      </c>
      <c r="G5" s="91">
        <f>E5-F5</f>
        <v>7342935.4758853326</v>
      </c>
      <c r="I5" s="3"/>
      <c r="J5" s="3"/>
      <c r="K5" s="3"/>
      <c r="M5" s="35"/>
    </row>
    <row r="6" spans="1:13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96">
        <f>+'Skema1-7_2016'!J6</f>
        <v>2424090.7459206679</v>
      </c>
      <c r="D6" s="82">
        <v>82490.6583738646</v>
      </c>
      <c r="E6" s="82">
        <f t="shared" ref="E6:E27" si="0">C6-D6</f>
        <v>2341600.0875468031</v>
      </c>
      <c r="F6" s="82">
        <f>93452.4974969856+5494.334</f>
        <v>98946.8314969856</v>
      </c>
      <c r="G6" s="91">
        <f t="shared" ref="G6:G27" si="1">E6-F6</f>
        <v>2242653.2560498174</v>
      </c>
      <c r="I6" s="3"/>
      <c r="J6" s="3"/>
      <c r="K6" s="3"/>
      <c r="M6" s="35"/>
    </row>
    <row r="7" spans="1:13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96">
        <f>+'Skema1-7_2016'!J7</f>
        <v>3056636.3300077911</v>
      </c>
      <c r="D7" s="82">
        <v>57418.373436243128</v>
      </c>
      <c r="E7" s="82">
        <f t="shared" si="0"/>
        <v>2999217.9565715478</v>
      </c>
      <c r="F7" s="82">
        <f>152587.300360365+441.76172832</f>
        <v>153029.06208868502</v>
      </c>
      <c r="G7" s="91">
        <f t="shared" si="1"/>
        <v>2846188.8944828627</v>
      </c>
      <c r="I7" s="3"/>
      <c r="J7" s="3"/>
      <c r="K7" s="92"/>
      <c r="M7" s="35"/>
    </row>
    <row r="8" spans="1:13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96">
        <f>+'Skema1-7_2016'!J8</f>
        <v>5107408.8644258203</v>
      </c>
      <c r="D8" s="82">
        <v>71664.032330000045</v>
      </c>
      <c r="E8" s="82">
        <f t="shared" si="0"/>
        <v>5035744.8320958205</v>
      </c>
      <c r="F8" s="82">
        <f>564770.086328135+2193.82141748</f>
        <v>566963.907745615</v>
      </c>
      <c r="G8" s="91">
        <f t="shared" si="1"/>
        <v>4468780.9243502058</v>
      </c>
      <c r="I8" s="3"/>
      <c r="J8" s="3"/>
      <c r="K8" s="3"/>
      <c r="M8" s="35"/>
    </row>
    <row r="9" spans="1:13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96">
        <f>+'Skema1-7_2016'!J9</f>
        <v>2442435.881059214</v>
      </c>
      <c r="D9" s="82">
        <v>36083.601126661619</v>
      </c>
      <c r="E9" s="82">
        <f t="shared" si="0"/>
        <v>2406352.2799325525</v>
      </c>
      <c r="F9" s="82">
        <f>114746.06090907+127.13</f>
        <v>114873.19090907001</v>
      </c>
      <c r="G9" s="91">
        <f t="shared" si="1"/>
        <v>2291479.0890234825</v>
      </c>
      <c r="I9" s="3"/>
      <c r="J9" s="3"/>
      <c r="K9" s="3"/>
      <c r="M9" s="35"/>
    </row>
    <row r="10" spans="1:13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96">
        <f>+'Skema1-7_2016'!J10</f>
        <v>419012.45733149006</v>
      </c>
      <c r="D10" s="82"/>
      <c r="E10" s="82">
        <f t="shared" si="0"/>
        <v>419012.45733149006</v>
      </c>
      <c r="F10" s="82">
        <v>27585.421716394882</v>
      </c>
      <c r="G10" s="91">
        <f t="shared" si="1"/>
        <v>391427.03561509517</v>
      </c>
      <c r="I10" s="3"/>
      <c r="J10" s="3"/>
      <c r="K10" s="3"/>
      <c r="M10" s="35"/>
    </row>
    <row r="11" spans="1:13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96">
        <f>+'Skema1-7_2016'!J11</f>
        <v>3632284.628</v>
      </c>
      <c r="D11" s="82">
        <v>85393</v>
      </c>
      <c r="E11" s="82">
        <f t="shared" si="0"/>
        <v>3546891.628</v>
      </c>
      <c r="F11" s="82">
        <f>588407.171227436+3715.397+5797.516</f>
        <v>597920.08422743599</v>
      </c>
      <c r="G11" s="91">
        <f t="shared" si="1"/>
        <v>2948971.5437725643</v>
      </c>
      <c r="I11" s="3"/>
      <c r="J11" s="3"/>
      <c r="K11" s="3"/>
      <c r="M11" s="35"/>
    </row>
    <row r="12" spans="1:13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96">
        <f>+'Skema1-7_2016'!J12</f>
        <v>1231592.8277499999</v>
      </c>
      <c r="D12" s="82">
        <v>17066</v>
      </c>
      <c r="E12" s="82">
        <f t="shared" si="0"/>
        <v>1214526.8277499999</v>
      </c>
      <c r="F12" s="82">
        <v>55562.912004611193</v>
      </c>
      <c r="G12" s="91">
        <f t="shared" si="1"/>
        <v>1158963.9157453887</v>
      </c>
      <c r="I12" s="3"/>
      <c r="J12" s="3"/>
      <c r="K12" s="3"/>
      <c r="M12" s="35"/>
    </row>
    <row r="13" spans="1:13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96">
        <f>+'Skema1-7_2016'!J13</f>
        <v>2120089.1701350803</v>
      </c>
      <c r="D13" s="82">
        <v>37280</v>
      </c>
      <c r="E13" s="82">
        <f t="shared" si="0"/>
        <v>2082809.1701350803</v>
      </c>
      <c r="F13" s="82">
        <v>71877.503104811825</v>
      </c>
      <c r="G13" s="91">
        <f t="shared" si="1"/>
        <v>2010931.6670302686</v>
      </c>
      <c r="I13" s="3"/>
      <c r="J13" s="3"/>
      <c r="K13" s="3"/>
      <c r="M13" s="35"/>
    </row>
    <row r="14" spans="1:13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96">
        <f>+'Skema1-7_2016'!J14</f>
        <v>919471.49692052172</v>
      </c>
      <c r="D14" s="82">
        <v>6258</v>
      </c>
      <c r="E14" s="82">
        <f t="shared" si="0"/>
        <v>913213.49692052172</v>
      </c>
      <c r="F14" s="82">
        <v>12078.976581159521</v>
      </c>
      <c r="G14" s="91">
        <f t="shared" si="1"/>
        <v>901134.52033936221</v>
      </c>
      <c r="I14" s="3"/>
      <c r="J14" s="3"/>
      <c r="K14" s="3"/>
      <c r="M14" s="35"/>
    </row>
    <row r="15" spans="1:13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96">
        <f>+'Skema1-7_2016'!J15</f>
        <v>6647228</v>
      </c>
      <c r="D15" s="82">
        <v>166094</v>
      </c>
      <c r="E15" s="82">
        <f t="shared" si="0"/>
        <v>6481134</v>
      </c>
      <c r="F15" s="82">
        <f>790120.823581185+4177.041</f>
        <v>794297.86458118493</v>
      </c>
      <c r="G15" s="91">
        <f t="shared" si="1"/>
        <v>5686836.1354188155</v>
      </c>
      <c r="I15" s="3"/>
      <c r="J15" s="3"/>
      <c r="K15" s="3"/>
      <c r="M15" s="35"/>
    </row>
    <row r="16" spans="1:13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96">
        <f>+'Skema1-7_2016'!J16</f>
        <v>1767090</v>
      </c>
      <c r="D16" s="82">
        <v>12607</v>
      </c>
      <c r="E16" s="82">
        <f t="shared" si="0"/>
        <v>1754483</v>
      </c>
      <c r="F16" s="82">
        <v>127105.03119645795</v>
      </c>
      <c r="G16" s="91">
        <f t="shared" si="1"/>
        <v>1627377.968803542</v>
      </c>
      <c r="I16" s="3"/>
      <c r="J16" s="3"/>
      <c r="K16" s="3"/>
      <c r="M16" s="35"/>
    </row>
    <row r="17" spans="1:13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96">
        <f>+'Skema1-7_2016'!J17</f>
        <v>1798049</v>
      </c>
      <c r="D17" s="82">
        <v>11600</v>
      </c>
      <c r="E17" s="82">
        <f t="shared" si="0"/>
        <v>1786449</v>
      </c>
      <c r="F17" s="82">
        <f>148975.753139206+508.403</f>
        <v>149484.156139206</v>
      </c>
      <c r="G17" s="91">
        <f t="shared" si="1"/>
        <v>1636964.8438607941</v>
      </c>
      <c r="I17" s="3"/>
      <c r="J17" s="3"/>
      <c r="K17" s="3"/>
      <c r="M17" s="35"/>
    </row>
    <row r="18" spans="1:13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96">
        <f>+'Skema1-7_2016'!J18</f>
        <v>1464259</v>
      </c>
      <c r="D18" s="82">
        <v>27810.6</v>
      </c>
      <c r="E18" s="82">
        <f t="shared" si="0"/>
        <v>1436448.4</v>
      </c>
      <c r="F18" s="82">
        <v>81392.501219853584</v>
      </c>
      <c r="G18" s="91">
        <f t="shared" si="1"/>
        <v>1355055.8987801464</v>
      </c>
      <c r="I18" s="3"/>
      <c r="J18" s="3"/>
      <c r="K18" s="3"/>
      <c r="M18" s="35"/>
    </row>
    <row r="19" spans="1:13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96">
        <f>+'Skema1-7_2016'!J19</f>
        <v>1750860</v>
      </c>
      <c r="D19" s="82">
        <v>64891.399999999994</v>
      </c>
      <c r="E19" s="82">
        <f t="shared" si="0"/>
        <v>1685968.6</v>
      </c>
      <c r="F19" s="82">
        <f>314081.880843744+1116.893</f>
        <v>315198.77384374395</v>
      </c>
      <c r="G19" s="91">
        <f t="shared" si="1"/>
        <v>1370769.8261562563</v>
      </c>
      <c r="I19" s="3"/>
      <c r="J19" s="3"/>
      <c r="K19" s="3"/>
      <c r="M19" s="35"/>
    </row>
    <row r="20" spans="1:13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96">
        <f>+'Skema1-7_2016'!J20</f>
        <v>81197</v>
      </c>
      <c r="D20" s="82"/>
      <c r="E20" s="82">
        <f t="shared" si="0"/>
        <v>81197</v>
      </c>
      <c r="F20" s="82">
        <v>408.63411200000002</v>
      </c>
      <c r="G20" s="91">
        <f t="shared" si="1"/>
        <v>80788.365888</v>
      </c>
      <c r="I20" s="3"/>
      <c r="J20" s="3"/>
      <c r="K20" s="3"/>
      <c r="M20" s="35"/>
    </row>
    <row r="21" spans="1:13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96">
        <f>+'Skema1-7_2016'!J21</f>
        <v>1018909</v>
      </c>
      <c r="D21" s="82">
        <v>8184</v>
      </c>
      <c r="E21" s="82">
        <f t="shared" si="0"/>
        <v>1010725</v>
      </c>
      <c r="F21" s="82">
        <v>30408.433476452559</v>
      </c>
      <c r="G21" s="91">
        <f t="shared" si="1"/>
        <v>980316.5665235474</v>
      </c>
      <c r="I21" s="3"/>
      <c r="J21" s="3"/>
      <c r="K21" s="3"/>
      <c r="M21" s="35"/>
    </row>
    <row r="22" spans="1:13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96">
        <f>+'Skema1-7_2016'!J22</f>
        <v>2275118</v>
      </c>
      <c r="D22" s="82">
        <v>42368</v>
      </c>
      <c r="E22" s="82">
        <f t="shared" si="0"/>
        <v>2232750</v>
      </c>
      <c r="F22" s="82">
        <f>235613.619676068+735.3743005</f>
        <v>236348.99397656799</v>
      </c>
      <c r="G22" s="91">
        <f t="shared" si="1"/>
        <v>1996401.0060234321</v>
      </c>
      <c r="I22" s="3"/>
      <c r="J22" s="3"/>
      <c r="K22" s="3"/>
      <c r="M22" s="35"/>
    </row>
    <row r="23" spans="1:13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96">
        <f>+'Skema1-7_2016'!J23</f>
        <v>7258503</v>
      </c>
      <c r="D23" s="82">
        <v>236016</v>
      </c>
      <c r="E23" s="82">
        <f t="shared" si="0"/>
        <v>7022487</v>
      </c>
      <c r="F23" s="82">
        <f>1039997.73087175+1490.68727669</f>
        <v>1041488.4181484401</v>
      </c>
      <c r="G23" s="91">
        <f t="shared" si="1"/>
        <v>5980998.5818515597</v>
      </c>
      <c r="I23" s="3"/>
      <c r="J23" s="3"/>
      <c r="K23" s="3"/>
      <c r="M23" s="35"/>
    </row>
    <row r="24" spans="1:13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96">
        <f>+'Skema1-7_2016'!J24</f>
        <v>1175927</v>
      </c>
      <c r="D24" s="82">
        <v>18234</v>
      </c>
      <c r="E24" s="82">
        <f t="shared" si="0"/>
        <v>1157693</v>
      </c>
      <c r="F24" s="82">
        <f>34212.1883100023+280.577</f>
        <v>34492.765310002294</v>
      </c>
      <c r="G24" s="91">
        <f t="shared" si="1"/>
        <v>1123200.2346899977</v>
      </c>
      <c r="I24" s="3"/>
      <c r="J24" s="3"/>
      <c r="K24" s="3"/>
      <c r="M24" s="35"/>
    </row>
    <row r="25" spans="1:13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96">
        <f>+'Skema1-7_2016'!J25</f>
        <v>2575163</v>
      </c>
      <c r="D25" s="82">
        <v>61756</v>
      </c>
      <c r="E25" s="82">
        <f t="shared" si="0"/>
        <v>2513407</v>
      </c>
      <c r="F25" s="82">
        <f>155507.504040928+438.50324164</f>
        <v>155946.007282568</v>
      </c>
      <c r="G25" s="91">
        <f t="shared" si="1"/>
        <v>2357460.9927174319</v>
      </c>
      <c r="I25" s="3"/>
      <c r="J25" s="3"/>
      <c r="K25" s="3"/>
      <c r="M25" s="35"/>
    </row>
    <row r="26" spans="1:13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96">
        <f>+'Skema1-7_2016'!J26</f>
        <v>4544317.6890000002</v>
      </c>
      <c r="D26" s="82">
        <v>181369</v>
      </c>
      <c r="E26" s="82">
        <f t="shared" si="0"/>
        <v>4362948.6890000002</v>
      </c>
      <c r="F26" s="82">
        <f>434581+1972.835</f>
        <v>436553.83500000002</v>
      </c>
      <c r="G26" s="91">
        <f t="shared" si="1"/>
        <v>3926394.8540000003</v>
      </c>
      <c r="I26" s="3"/>
      <c r="J26" s="3"/>
      <c r="K26" s="3"/>
      <c r="M26" s="35"/>
    </row>
    <row r="27" spans="1:13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96">
        <f>+'Skema1-7_2016'!J27</f>
        <v>1373637.6609999998</v>
      </c>
      <c r="D27" s="82">
        <v>5142</v>
      </c>
      <c r="E27" s="82">
        <f t="shared" si="0"/>
        <v>1368495.6609999998</v>
      </c>
      <c r="F27" s="82">
        <v>43430</v>
      </c>
      <c r="G27" s="91">
        <f t="shared" si="1"/>
        <v>1325065.6609999998</v>
      </c>
      <c r="I27" s="3"/>
      <c r="J27" s="3"/>
      <c r="K27" s="3"/>
      <c r="M27" s="35"/>
    </row>
    <row r="28" spans="1:13" ht="13.5" customHeight="1" x14ac:dyDescent="0.2">
      <c r="A28" s="13"/>
      <c r="B28" s="13" t="s">
        <v>14</v>
      </c>
      <c r="C28" s="83">
        <f>SUM(C5:C27)</f>
        <v>64163991.105251573</v>
      </c>
      <c r="D28" s="83">
        <f>SUM(D5:D27)</f>
        <v>1507534.3104635943</v>
      </c>
      <c r="E28" s="83">
        <f>SUM(E5:E27)</f>
        <v>62656456.794787981</v>
      </c>
      <c r="F28" s="83">
        <f>SUM(F5:F27)</f>
        <v>6605359.536780077</v>
      </c>
      <c r="G28" s="93">
        <f>SUM(G5:G27)</f>
        <v>56051097.258007891</v>
      </c>
      <c r="I28" s="3"/>
      <c r="J28" s="3"/>
      <c r="K28" s="3"/>
    </row>
    <row r="29" spans="1:13" ht="13.5" customHeight="1" x14ac:dyDescent="0.2">
      <c r="I29" s="39"/>
      <c r="J29" s="3"/>
      <c r="K29" s="3"/>
    </row>
    <row r="30" spans="1:13" ht="13.5" customHeight="1" x14ac:dyDescent="0.2">
      <c r="B30" s="17" t="s">
        <v>28</v>
      </c>
      <c r="C30" s="18">
        <f>SUM(C5:C10)</f>
        <v>22530294.632445972</v>
      </c>
      <c r="D30" s="18">
        <f>SUM(D5:D10)</f>
        <v>525465.31046359416</v>
      </c>
      <c r="E30" s="18">
        <f>SUM(E5:E10)</f>
        <v>22004829.321982373</v>
      </c>
      <c r="F30" s="18">
        <f>SUM(F5:F10)</f>
        <v>2421364.6465755804</v>
      </c>
      <c r="G30" s="6">
        <f>SUM(G5:G10)</f>
        <v>19583464.675406795</v>
      </c>
      <c r="I30" s="39"/>
    </row>
    <row r="31" spans="1:13" ht="13.5" customHeight="1" x14ac:dyDescent="0.2">
      <c r="B31" s="19" t="s">
        <v>29</v>
      </c>
      <c r="C31" s="5">
        <f>SUM(C11:C14)</f>
        <v>7903438.1228056019</v>
      </c>
      <c r="D31" s="5">
        <f>SUM(D11:D14)</f>
        <v>145997</v>
      </c>
      <c r="E31" s="5">
        <f>SUM(E11:E14)</f>
        <v>7757441.1228056019</v>
      </c>
      <c r="F31" s="5">
        <f>SUM(F11:F14)</f>
        <v>737439.47591801849</v>
      </c>
      <c r="G31" s="8">
        <f>SUM(G11:G14)</f>
        <v>7020001.6468875837</v>
      </c>
    </row>
    <row r="32" spans="1:13" ht="13.5" customHeight="1" x14ac:dyDescent="0.2">
      <c r="B32" s="19" t="s">
        <v>30</v>
      </c>
      <c r="C32" s="5">
        <f>SUM(C15:C20)</f>
        <v>13508683</v>
      </c>
      <c r="D32" s="5">
        <f>SUM(D15:D20)</f>
        <v>283003</v>
      </c>
      <c r="E32" s="5">
        <f>SUM(E15:E20)</f>
        <v>13225680</v>
      </c>
      <c r="F32" s="5">
        <f>SUM(F15:F20)</f>
        <v>1467886.9610924465</v>
      </c>
      <c r="G32" s="8">
        <f>SUM(G15:G20)</f>
        <v>11757793.038907554</v>
      </c>
    </row>
    <row r="33" spans="1:8" ht="13.5" customHeight="1" x14ac:dyDescent="0.2">
      <c r="B33" s="19" t="s">
        <v>31</v>
      </c>
      <c r="C33" s="5">
        <f>SUM(C21:C25)</f>
        <v>14303620</v>
      </c>
      <c r="D33" s="5">
        <f>SUM(D21:D25)</f>
        <v>366558</v>
      </c>
      <c r="E33" s="5">
        <f>SUM(E21:E25)</f>
        <v>13937062</v>
      </c>
      <c r="F33" s="5">
        <f>SUM(F21:F25)</f>
        <v>1498684.6181940308</v>
      </c>
      <c r="G33" s="8">
        <f>SUM(G21:G25)</f>
        <v>12438377.381805968</v>
      </c>
    </row>
    <row r="34" spans="1:8" ht="13.5" customHeight="1" x14ac:dyDescent="0.2">
      <c r="B34" s="20" t="s">
        <v>32</v>
      </c>
      <c r="C34" s="10">
        <f>+SUM(C26:C27)</f>
        <v>5917955.3499999996</v>
      </c>
      <c r="D34" s="10">
        <f>+SUM(D26:D27)</f>
        <v>186511</v>
      </c>
      <c r="E34" s="10">
        <f>+SUM(E26:E27)</f>
        <v>5731444.3499999996</v>
      </c>
      <c r="F34" s="10">
        <f>+SUM(F26:F27)</f>
        <v>479983.83500000002</v>
      </c>
      <c r="G34" s="21">
        <f>+SUM(G26:G27)</f>
        <v>5251460.5150000006</v>
      </c>
    </row>
    <row r="35" spans="1:8" ht="13.5" customHeight="1" x14ac:dyDescent="0.2">
      <c r="B35" s="13" t="s">
        <v>14</v>
      </c>
      <c r="C35" s="22">
        <f>SUM(C30:C34)</f>
        <v>64163991.105251573</v>
      </c>
      <c r="D35" s="94">
        <f>SUM(D30:D34)</f>
        <v>1507534.3104635943</v>
      </c>
      <c r="E35" s="94">
        <f>SUM(E30:E34)</f>
        <v>62656456.794787981</v>
      </c>
      <c r="F35" s="94">
        <f>SUM(F30:F34)</f>
        <v>6605359.5367800752</v>
      </c>
      <c r="G35" s="95">
        <f>SUM(G30:G34)</f>
        <v>56051097.258007899</v>
      </c>
    </row>
    <row r="36" spans="1:8" ht="13.5" customHeight="1" x14ac:dyDescent="0.2"/>
    <row r="37" spans="1:8" ht="13.5" customHeight="1" x14ac:dyDescent="0.2">
      <c r="F37" s="156"/>
      <c r="G37" s="156"/>
      <c r="H37" s="156"/>
    </row>
    <row r="38" spans="1:8" ht="13.5" customHeight="1" x14ac:dyDescent="0.2">
      <c r="F38" s="156"/>
      <c r="G38" s="156"/>
      <c r="H38" s="156"/>
    </row>
    <row r="39" spans="1:8" ht="13.5" customHeight="1" x14ac:dyDescent="0.2">
      <c r="F39" s="156"/>
      <c r="G39" s="156"/>
      <c r="H39" s="156"/>
    </row>
    <row r="40" spans="1:8" ht="13.5" customHeight="1" x14ac:dyDescent="0.2">
      <c r="A40" s="77"/>
      <c r="B40" s="39"/>
      <c r="C40" s="28"/>
      <c r="D40" s="39"/>
      <c r="F40" s="156"/>
      <c r="G40" s="156"/>
      <c r="H40" s="156"/>
    </row>
    <row r="41" spans="1:8" ht="13.5" customHeight="1" x14ac:dyDescent="0.2">
      <c r="A41" s="77"/>
      <c r="B41" s="3"/>
      <c r="C41" s="3"/>
      <c r="D41" s="3"/>
      <c r="F41" s="156"/>
      <c r="G41" s="156"/>
      <c r="H41" s="156"/>
    </row>
    <row r="42" spans="1:8" ht="13.5" customHeight="1" x14ac:dyDescent="0.2">
      <c r="A42" s="77"/>
      <c r="B42" s="3"/>
      <c r="C42" s="3"/>
      <c r="D42" s="3"/>
      <c r="F42" s="156"/>
      <c r="G42" s="156"/>
      <c r="H42" s="156"/>
    </row>
    <row r="43" spans="1:8" ht="13.5" customHeight="1" x14ac:dyDescent="0.2">
      <c r="A43" s="77"/>
      <c r="B43" s="3"/>
      <c r="C43" s="3"/>
      <c r="D43" s="3"/>
    </row>
    <row r="44" spans="1:8" x14ac:dyDescent="0.2">
      <c r="A44" s="77"/>
      <c r="B44" s="3"/>
      <c r="C44" s="3"/>
      <c r="D44" s="3"/>
    </row>
    <row r="45" spans="1:8" x14ac:dyDescent="0.2">
      <c r="A45" s="77"/>
      <c r="B45" s="3"/>
      <c r="C45" s="3"/>
      <c r="D45" s="3"/>
    </row>
  </sheetData>
  <phoneticPr fontId="5" type="noConversion"/>
  <pageMargins left="0.51181102362204722" right="0.43307086614173229" top="0.51181102362204722" bottom="0.19685039370078741" header="0.23622047244094491" footer="0.23622047244094491"/>
  <pageSetup paperSize="9" scale="77" orientation="landscape" cellComments="asDisplayed" horizontalDpi="300" verticalDpi="300" r:id="rId1"/>
  <headerFooter alignWithMargins="0">
    <oddHeader>&amp;CSide &amp;P / &amp;N</oddHeader>
  </headerFooter>
  <ignoredErrors>
    <ignoredError sqref="D30:F34" formulaRange="1"/>
    <ignoredError sqref="F5:F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Normal="100" workbookViewId="0">
      <selection activeCell="G28" sqref="G28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7" ht="15.75" x14ac:dyDescent="0.25">
      <c r="A1" s="72" t="str">
        <f>'Skema1-7_2015'!A1</f>
        <v>Endelig version 31. januar 2018</v>
      </c>
    </row>
    <row r="2" spans="1:7" ht="13.5" customHeight="1" x14ac:dyDescent="0.2">
      <c r="A2" s="89" t="s">
        <v>178</v>
      </c>
      <c r="B2" s="39"/>
      <c r="C2" s="28"/>
      <c r="D2" s="38"/>
    </row>
    <row r="3" spans="1:7" ht="13.5" customHeight="1" x14ac:dyDescent="0.2">
      <c r="A3" s="90" t="s">
        <v>45</v>
      </c>
      <c r="B3" s="39"/>
      <c r="C3" s="28"/>
    </row>
    <row r="4" spans="1:7" ht="54" customHeight="1" x14ac:dyDescent="0.2">
      <c r="A4" s="73" t="s">
        <v>6</v>
      </c>
      <c r="B4" s="73" t="s">
        <v>0</v>
      </c>
      <c r="C4" s="12" t="s">
        <v>15</v>
      </c>
      <c r="D4" s="12" t="s">
        <v>16</v>
      </c>
      <c r="E4" s="12" t="s">
        <v>23</v>
      </c>
      <c r="F4" s="12" t="s">
        <v>21</v>
      </c>
      <c r="G4" s="12" t="s">
        <v>22</v>
      </c>
    </row>
    <row r="5" spans="1:7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96">
        <f>IF(DTD_15!C5=0,"-",DTD_16!C5/DTD_15!C5*100-100)</f>
        <v>2.2121180946503785</v>
      </c>
      <c r="D5" s="97">
        <f>IF(DTD_15!D5=0,"-",DTD_16!D5/DTD_15!D5*100-100)</f>
        <v>20.300802730099193</v>
      </c>
      <c r="E5" s="82">
        <f>IF(DTD_15!E5=0,"-",DTD_16!E5/DTD_15!E5*100-100)</f>
        <v>1.729387532140521</v>
      </c>
      <c r="F5" s="82">
        <f>IF(DTD_15!F5=0,"-",DTD_16!F5/DTD_15!F5*100-100)</f>
        <v>8.4892603414165961</v>
      </c>
      <c r="G5" s="91">
        <f>IF(DTD_15!G5=0,"-",DTD_16!G5/DTD_15!G5*100-100)</f>
        <v>0.48451745848723249</v>
      </c>
    </row>
    <row r="6" spans="1:7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96">
        <f>IF(DTD_15!C6=0,"-",DTD_16!C6/DTD_15!C6*100-100)</f>
        <v>-10.324140956452183</v>
      </c>
      <c r="D6" s="97">
        <f>IF(DTD_15!D6=0,"-",DTD_16!D6/DTD_15!D6*100-100)</f>
        <v>-3.0260544828649216</v>
      </c>
      <c r="E6" s="82">
        <f>IF(DTD_15!E6=0,"-",DTD_16!E6/DTD_15!E6*100-100)</f>
        <v>-10.561262843093047</v>
      </c>
      <c r="F6" s="82">
        <f>IF(DTD_15!F6=0,"-",DTD_16!F6/DTD_15!F6*100-100)</f>
        <v>-38.697892844094106</v>
      </c>
      <c r="G6" s="91">
        <f>IF(DTD_15!G6=0,"-",DTD_16!G6/DTD_15!G6*100-100)</f>
        <v>-8.7126453453311825</v>
      </c>
    </row>
    <row r="7" spans="1:7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96">
        <f>IF(DTD_15!C7=0,"-",DTD_16!C7/DTD_15!C7*100-100)</f>
        <v>7.3138023489292436E-2</v>
      </c>
      <c r="D7" s="97">
        <f>IF(DTD_15!D7=0,"-",DTD_16!D7/DTD_15!D7*100-100)</f>
        <v>4.7930352005968473</v>
      </c>
      <c r="E7" s="82">
        <f>IF(DTD_15!E7=0,"-",DTD_16!E7/DTD_15!E7*100-100)</f>
        <v>-1.3077640457709094E-2</v>
      </c>
      <c r="F7" s="82">
        <f>IF(DTD_15!F7=0,"-",DTD_16!F7/DTD_15!F7*100-100)</f>
        <v>-0.99285900302571406</v>
      </c>
      <c r="G7" s="91">
        <f>IF(DTD_15!G7=0,"-",DTD_16!G7/DTD_15!G7*100-100)</f>
        <v>4.0151222682126786E-2</v>
      </c>
    </row>
    <row r="8" spans="1:7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96">
        <f>IF(DTD_15!C8=0,"-",DTD_16!C8/DTD_15!C8*100-100)</f>
        <v>2.7061422788762286</v>
      </c>
      <c r="D8" s="97">
        <f>IF(DTD_15!D8=0,"-",DTD_16!D8/DTD_15!D8*100-100)</f>
        <v>-34.450434268485054</v>
      </c>
      <c r="E8" s="82">
        <f>IF(DTD_15!E8=0,"-",DTD_16!E8/DTD_15!E8*100-100)</f>
        <v>3.5413940543554077</v>
      </c>
      <c r="F8" s="82">
        <f>IF(DTD_15!F8=0,"-",DTD_16!F8/DTD_15!F8*100-100)</f>
        <v>-3.4809875677459132</v>
      </c>
      <c r="G8" s="91">
        <f>IF(DTD_15!G8=0,"-",DTD_16!G8/DTD_15!G8*100-100)</f>
        <v>4.5060654547828705</v>
      </c>
    </row>
    <row r="9" spans="1:7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96">
        <f>IF(DTD_15!C9=0,"-",DTD_16!C9/DTD_15!C9*100-100)</f>
        <v>-1.794843928766241</v>
      </c>
      <c r="D9" s="97">
        <f>IF(DTD_15!D9=0,"-",DTD_16!D9/DTD_15!D9*100-100)</f>
        <v>17.600310148146534</v>
      </c>
      <c r="E9" s="82">
        <f>IF(DTD_15!E9=0,"-",DTD_16!E9/DTD_15!E9*100-100)</f>
        <v>-2.0371124629156441</v>
      </c>
      <c r="F9" s="82">
        <f>IF(DTD_15!F9=0,"-",DTD_16!F9/DTD_15!F9*100-100)</f>
        <v>-13.00993590412368</v>
      </c>
      <c r="G9" s="91">
        <f>IF(DTD_15!G9=0,"-",DTD_16!G9/DTD_15!G9*100-100)</f>
        <v>-1.4137106692980694</v>
      </c>
    </row>
    <row r="10" spans="1:7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96">
        <f>IF(DTD_15!C10=0,"-",DTD_16!C10/DTD_15!C10*100-100)</f>
        <v>3.5417601729492105</v>
      </c>
      <c r="D10" s="97" t="str">
        <f>IF(DTD_15!D10=0,"-",DTD_16!D10/DTD_15!D10*100-100)</f>
        <v>-</v>
      </c>
      <c r="E10" s="82">
        <f>IF(DTD_15!E10=0,"-",DTD_16!E10/DTD_15!E10*100-100)</f>
        <v>3.5417601729492105</v>
      </c>
      <c r="F10" s="82">
        <f>IF(DTD_15!F10=0,"-",DTD_16!F10/DTD_15!F10*100-100)</f>
        <v>2.0844512533032145</v>
      </c>
      <c r="G10" s="91">
        <f>IF(DTD_15!G10=0,"-",DTD_16!G10/DTD_15!G10*100-100)</f>
        <v>3.646033569453607</v>
      </c>
    </row>
    <row r="11" spans="1:7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96">
        <f>IF(DTD_15!C11=0,"-",DTD_16!C11/DTD_15!C11*100-100)</f>
        <v>11.850833357265955</v>
      </c>
      <c r="D11" s="97">
        <f>IF(DTD_15!D11=0,"-",DTD_16!D11/DTD_15!D11*100-100)</f>
        <v>3.8986580424846977</v>
      </c>
      <c r="E11" s="82">
        <f>IF(DTD_15!E11=0,"-",DTD_16!E11/DTD_15!E11*100-100)</f>
        <v>12.05731934660767</v>
      </c>
      <c r="F11" s="82">
        <f>IF(DTD_15!F11=0,"-",DTD_16!F11/DTD_15!F11*100-100)</f>
        <v>29.642657608562843</v>
      </c>
      <c r="G11" s="91">
        <f>IF(DTD_15!G11=0,"-",DTD_16!G11/DTD_15!G11*100-100)</f>
        <v>9.0579315675682039</v>
      </c>
    </row>
    <row r="12" spans="1:7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96">
        <f>IF(DTD_15!C12=0,"-",DTD_16!C12/DTD_15!C12*100-100)</f>
        <v>7.0626279048033496</v>
      </c>
      <c r="D12" s="97">
        <f>IF(DTD_15!D12=0,"-",DTD_16!D12/DTD_15!D12*100-100)</f>
        <v>-0.57840577654259562</v>
      </c>
      <c r="E12" s="82">
        <f>IF(DTD_15!E12=0,"-",DTD_16!E12/DTD_15!E12*100-100)</f>
        <v>7.1783731557451063</v>
      </c>
      <c r="F12" s="82">
        <f>IF(DTD_15!F12=0,"-",DTD_16!F12/DTD_15!F12*100-100)</f>
        <v>-9.542018751925113</v>
      </c>
      <c r="G12" s="91">
        <f>IF(DTD_15!G12=0,"-",DTD_16!G12/DTD_15!G12*100-100)</f>
        <v>8.1366423478870615</v>
      </c>
    </row>
    <row r="13" spans="1:7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96">
        <f>IF(DTD_15!C13=0,"-",DTD_16!C13/DTD_15!C13*100-100)</f>
        <v>-16.409930448066248</v>
      </c>
      <c r="D13" s="97">
        <f>IF(DTD_15!D13=0,"-",DTD_16!D13/DTD_15!D13*100-100)</f>
        <v>12.104238658858037</v>
      </c>
      <c r="E13" s="82">
        <f>IF(DTD_15!E13=0,"-",DTD_16!E13/DTD_15!E13*100-100)</f>
        <v>-16.788762825079743</v>
      </c>
      <c r="F13" s="82">
        <f>IF(DTD_15!F13=0,"-",DTD_16!F13/DTD_15!F13*100-100)</f>
        <v>-59.958678568559584</v>
      </c>
      <c r="G13" s="91">
        <f>IF(DTD_15!G13=0,"-",DTD_16!G13/DTD_15!G13*100-100)</f>
        <v>-13.453596528121366</v>
      </c>
    </row>
    <row r="14" spans="1:7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96">
        <f>IF(DTD_15!C14=0,"-",DTD_16!C14/DTD_15!C14*100-100)</f>
        <v>5.0351019021964021</v>
      </c>
      <c r="D14" s="97">
        <f>IF(DTD_15!D14=0,"-",DTD_16!D14/DTD_15!D14*100-100)</f>
        <v>18.619240199980894</v>
      </c>
      <c r="E14" s="82">
        <f>IF(DTD_15!E14=0,"-",DTD_16!E14/DTD_15!E14*100-100)</f>
        <v>4.9527385585625581</v>
      </c>
      <c r="F14" s="82">
        <f>IF(DTD_15!F14=0,"-",DTD_16!F14/DTD_15!F14*100-100)</f>
        <v>-16.824372291395875</v>
      </c>
      <c r="G14" s="91">
        <f>IF(DTD_15!G14=0,"-",DTD_16!G14/DTD_15!G14*100-100)</f>
        <v>5.3223669290193101</v>
      </c>
    </row>
    <row r="15" spans="1:7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96">
        <f>IF(DTD_15!C15=0,"-",DTD_16!C15/DTD_15!C15*100-100)</f>
        <v>-0.96807033994871006</v>
      </c>
      <c r="D15" s="97">
        <f>IF(DTD_15!D15=0,"-",DTD_16!D15/DTD_15!D15*100-100)</f>
        <v>0</v>
      </c>
      <c r="E15" s="82">
        <f>IF(DTD_15!E15=0,"-",DTD_16!E15/DTD_15!E15*100-100)</f>
        <v>-0.99263311145796251</v>
      </c>
      <c r="F15" s="82">
        <f>IF(DTD_15!F15=0,"-",DTD_16!F15/DTD_15!F15*100-100)</f>
        <v>5.3863090309449291</v>
      </c>
      <c r="G15" s="91">
        <f>IF(DTD_15!G15=0,"-",DTD_16!G15/DTD_15!G15*100-100)</f>
        <v>-1.8226528912992706</v>
      </c>
    </row>
    <row r="16" spans="1:7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96">
        <f>IF(DTD_15!C16=0,"-",DTD_16!C16/DTD_15!C16*100-100)</f>
        <v>1.5598698044642703</v>
      </c>
      <c r="D16" s="97">
        <f>IF(DTD_15!D16=0,"-",DTD_16!D16/DTD_15!D16*100-100)</f>
        <v>0.81176379804541909</v>
      </c>
      <c r="E16" s="82">
        <f>IF(DTD_15!E16=0,"-",DTD_16!E16/DTD_15!E16*100-100)</f>
        <v>1.5652855694577568</v>
      </c>
      <c r="F16" s="82">
        <f>IF(DTD_15!F16=0,"-",DTD_16!F16/DTD_15!F16*100-100)</f>
        <v>4.910821648323477</v>
      </c>
      <c r="G16" s="91">
        <f>IF(DTD_15!G16=0,"-",DTD_16!G16/DTD_15!G16*100-100)</f>
        <v>1.3129463912418942</v>
      </c>
    </row>
    <row r="17" spans="1:7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96">
        <f>IF(DTD_15!C17=0,"-",DTD_16!C17/DTD_15!C17*100-100)</f>
        <v>1.4125593221994563</v>
      </c>
      <c r="D17" s="97">
        <f>IF(DTD_15!D17=0,"-",DTD_16!D17/DTD_15!D17*100-100)</f>
        <v>0.31655928038436798</v>
      </c>
      <c r="E17" s="82">
        <f>IF(DTD_15!E17=0,"-",DTD_16!E17/DTD_15!E17*100-100)</f>
        <v>1.419754273579187</v>
      </c>
      <c r="F17" s="82">
        <f>IF(DTD_15!F17=0,"-",DTD_16!F17/DTD_15!F17*100-100)</f>
        <v>2.334941192551554</v>
      </c>
      <c r="G17" s="91">
        <f>IF(DTD_15!G17=0,"-",DTD_16!G17/DTD_15!G17*100-100)</f>
        <v>1.3369963284116153</v>
      </c>
    </row>
    <row r="18" spans="1:7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96">
        <f>IF(DTD_15!C18=0,"-",DTD_16!C18/DTD_15!C18*100-100)</f>
        <v>-1.5915005901220525E-2</v>
      </c>
      <c r="D18" s="97">
        <f>IF(DTD_15!D18=0,"-",DTD_16!D18/DTD_15!D18*100-100)</f>
        <v>6.0619127806378117</v>
      </c>
      <c r="E18" s="82">
        <f>IF(DTD_15!E18=0,"-",DTD_16!E18/DTD_15!E18*100-100)</f>
        <v>-0.12671980681624007</v>
      </c>
      <c r="F18" s="82">
        <f>IF(DTD_15!F18=0,"-",DTD_16!F18/DTD_15!F18*100-100)</f>
        <v>6.4419935589774298</v>
      </c>
      <c r="G18" s="91">
        <f>IF(DTD_15!G18=0,"-",DTD_16!G18/DTD_15!G18*100-100)</f>
        <v>-0.49555891191873513</v>
      </c>
    </row>
    <row r="19" spans="1:7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96">
        <f>IF(DTD_15!C19=0,"-",DTD_16!C19/DTD_15!C19*100-100)</f>
        <v>-0.38810356227054399</v>
      </c>
      <c r="D19" s="97">
        <f>IF(DTD_15!D19=0,"-",DTD_16!D19/DTD_15!D19*100-100)</f>
        <v>6.0619127806378401</v>
      </c>
      <c r="E19" s="82">
        <f>IF(DTD_15!E19=0,"-",DTD_16!E19/DTD_15!E19*100-100)</f>
        <v>-0.62071704345349588</v>
      </c>
      <c r="F19" s="82">
        <f>IF(DTD_15!F19=0,"-",DTD_16!F19/DTD_15!F19*100-100)</f>
        <v>5.218607507890809</v>
      </c>
      <c r="G19" s="91">
        <f>IF(DTD_15!G19=0,"-",DTD_16!G19/DTD_15!G19*100-100)</f>
        <v>-1.872931952478055</v>
      </c>
    </row>
    <row r="20" spans="1:7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96">
        <f>IF(DTD_15!C20=0,"-",DTD_16!C20/DTD_15!C20*100-100)</f>
        <v>1.346548479577109</v>
      </c>
      <c r="D20" s="97" t="str">
        <f>IF(DTD_15!D20=0,"-",DTD_16!D20/DTD_15!D20*100-100)</f>
        <v>-</v>
      </c>
      <c r="E20" s="82">
        <f>IF(DTD_15!E20=0,"-",DTD_16!E20/DTD_15!E20*100-100)</f>
        <v>1.346548479577109</v>
      </c>
      <c r="F20" s="82">
        <f>IF(DTD_15!F20=0,"-",DTD_16!F20/DTD_15!F20*100-100)</f>
        <v>-12.108719130310874</v>
      </c>
      <c r="G20" s="91">
        <f>IF(DTD_15!G20=0,"-",DTD_16!G20/DTD_15!G20*100-100)</f>
        <v>1.425086097603014</v>
      </c>
    </row>
    <row r="21" spans="1:7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96">
        <f>IF(DTD_15!C21=0,"-",DTD_16!C21/DTD_15!C21*100-100)</f>
        <v>2.4825229967281928</v>
      </c>
      <c r="D21" s="97">
        <f>IF(DTD_15!D21=0,"-",DTD_16!D21/DTD_15!D21*100-100)</f>
        <v>3.6031462746288554</v>
      </c>
      <c r="E21" s="82">
        <f>IF(DTD_15!E21=0,"-",DTD_16!E21/DTD_15!E21*100-100)</f>
        <v>2.4735480664940468</v>
      </c>
      <c r="F21" s="82">
        <f>IF(DTD_15!F21=0,"-",DTD_16!F21/DTD_15!F21*100-100)</f>
        <v>-11.443904752207928</v>
      </c>
      <c r="G21" s="91">
        <f>IF(DTD_15!G21=0,"-",DTD_16!G21/DTD_15!G21*100-100)</f>
        <v>2.9755473690581198</v>
      </c>
    </row>
    <row r="22" spans="1:7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96">
        <f>IF(DTD_15!C22=0,"-",DTD_16!C22/DTD_15!C22*100-100)</f>
        <v>0.64719527512939123</v>
      </c>
      <c r="D22" s="97">
        <f>IF(DTD_15!D22=0,"-",DTD_16!D22/DTD_15!D22*100-100)</f>
        <v>55.584719529973171</v>
      </c>
      <c r="E22" s="82">
        <f>IF(DTD_15!E22=0,"-",DTD_16!E22/DTD_15!E22*100-100)</f>
        <v>-2.2691569050607541E-2</v>
      </c>
      <c r="F22" s="82">
        <f>IF(DTD_15!F22=0,"-",DTD_16!F22/DTD_15!F22*100-100)</f>
        <v>-5.6437800382166756</v>
      </c>
      <c r="G22" s="91">
        <f>IF(DTD_15!G22=0,"-",DTD_16!G22/DTD_15!G22*100-100)</f>
        <v>0.68742739213851678</v>
      </c>
    </row>
    <row r="23" spans="1:7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96">
        <f>IF(DTD_15!C23=0,"-",DTD_16!C23/DTD_15!C23*100-100)</f>
        <v>1.5213194276374082</v>
      </c>
      <c r="D23" s="97">
        <f>IF(DTD_15!D23=0,"-",DTD_16!D23/DTD_15!D23*100-100)</f>
        <v>40.768388101814679</v>
      </c>
      <c r="E23" s="82">
        <f>IF(DTD_15!E23=0,"-",DTD_16!E23/DTD_15!E23*100-100)</f>
        <v>0.57886723441259846</v>
      </c>
      <c r="F23" s="82">
        <f>IF(DTD_15!F23=0,"-",DTD_16!F23/DTD_15!F23*100-100)</f>
        <v>0.69893043781827657</v>
      </c>
      <c r="G23" s="91">
        <f>IF(DTD_15!G23=0,"-",DTD_16!G23/DTD_15!G23*100-100)</f>
        <v>0.55798954675250911</v>
      </c>
    </row>
    <row r="24" spans="1:7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96">
        <f>IF(DTD_15!C24=0,"-",DTD_16!C24/DTD_15!C24*100-100)</f>
        <v>5.6907267928780954</v>
      </c>
      <c r="D24" s="97">
        <f>IF(DTD_15!D24=0,"-",DTD_16!D24/DTD_15!D24*100-100)</f>
        <v>38.685568996070572</v>
      </c>
      <c r="E24" s="82">
        <f>IF(DTD_15!E24=0,"-",DTD_16!E24/DTD_15!E24*100-100)</f>
        <v>5.2961642290000981</v>
      </c>
      <c r="F24" s="82">
        <f>IF(DTD_15!F24=0,"-",DTD_16!F24/DTD_15!F24*100-100)</f>
        <v>-3.2794071107854847</v>
      </c>
      <c r="G24" s="91">
        <f>IF(DTD_15!G24=0,"-",DTD_16!G24/DTD_15!G24*100-100)</f>
        <v>5.5836468531645664</v>
      </c>
    </row>
    <row r="25" spans="1:7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96">
        <f>IF(DTD_15!C25=0,"-",DTD_16!C25/DTD_15!C25*100-100)</f>
        <v>-0.60780148271213363</v>
      </c>
      <c r="D25" s="97">
        <f>IF(DTD_15!D25=0,"-",DTD_16!D25/DTD_15!D25*100-100)</f>
        <v>17.792435179684702</v>
      </c>
      <c r="E25" s="82">
        <f>IF(DTD_15!E25=0,"-",DTD_16!E25/DTD_15!E25*100-100)</f>
        <v>-0.98782541356283105</v>
      </c>
      <c r="F25" s="82">
        <f>IF(DTD_15!F25=0,"-",DTD_16!F25/DTD_15!F25*100-100)</f>
        <v>1.4991066759175879</v>
      </c>
      <c r="G25" s="91">
        <f>IF(DTD_15!G25=0,"-",DTD_16!G25/DTD_15!G25*100-100)</f>
        <v>-1.1480454077634477</v>
      </c>
    </row>
    <row r="26" spans="1:7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96">
        <f>IF(DTD_15!C26=0,"-",DTD_16!C26/DTD_15!C26*100-100)</f>
        <v>1.8019452504631488</v>
      </c>
      <c r="D26" s="97">
        <f>IF(DTD_15!D26=0,"-",DTD_16!D26/DTD_15!D26*100-100)</f>
        <v>13.987598606305539</v>
      </c>
      <c r="E26" s="82">
        <f>IF(DTD_15!E26=0,"-",DTD_16!E26/DTD_15!E26*100-100)</f>
        <v>1.3515388892815707</v>
      </c>
      <c r="F26" s="82">
        <f>IF(DTD_15!F26=0,"-",DTD_16!F26/DTD_15!F26*100-100)</f>
        <v>6.0800997271992969</v>
      </c>
      <c r="G26" s="91">
        <f>IF(DTD_15!G26=0,"-",DTD_16!G26/DTD_15!G26*100-100)</f>
        <v>0.85170907248168248</v>
      </c>
    </row>
    <row r="27" spans="1:7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96">
        <f>IF(DTD_15!C27=0,"-",DTD_16!C27/DTD_15!C27*100-100)</f>
        <v>-1.4192923173684306</v>
      </c>
      <c r="D27" s="97">
        <f>IF(DTD_15!D27=0,"-",DTD_16!D27/DTD_15!D27*100-100)</f>
        <v>69.426296595526537</v>
      </c>
      <c r="E27" s="82">
        <f>IF(DTD_15!E27=0,"-",DTD_16!E27/DTD_15!E27*100-100)</f>
        <v>-1.5739354949446636</v>
      </c>
      <c r="F27" s="82">
        <f>IF(DTD_15!F27=0,"-",DTD_16!F27/DTD_15!F27*100-100)</f>
        <v>-13.863361417171831</v>
      </c>
      <c r="G27" s="91">
        <f>IF(DTD_15!G27=0,"-",DTD_16!G27/DTD_15!G27*100-100)</f>
        <v>-1.1115099126780592</v>
      </c>
    </row>
    <row r="28" spans="1:7" ht="13.5" customHeight="1" x14ac:dyDescent="0.2">
      <c r="A28" s="13"/>
      <c r="B28" s="13" t="s">
        <v>14</v>
      </c>
      <c r="C28" s="83">
        <f>IF(DTD_15!C28=0,"-",DTD_16!C28/DTD_15!C28*100-100)</f>
        <v>0.55706708609154987</v>
      </c>
      <c r="D28" s="83">
        <f>IF(DTD_15!D28=0,"-",DTD_16!D28/DTD_15!D28*100-100)</f>
        <v>11.112455441454898</v>
      </c>
      <c r="E28" s="83">
        <f>IF(DTD_15!E28=0,"-",DTD_16!E28/DTD_15!E28*100-100)</f>
        <v>0.32775131560217119</v>
      </c>
      <c r="F28" s="83">
        <f>IF(DTD_15!F28=0,"-",DTD_16!F28/DTD_15!F28*100-100)</f>
        <v>1.736550745856519</v>
      </c>
      <c r="G28" s="93">
        <f>IF(DTD_15!G28=0,"-",DTD_16!G28/DTD_15!G28*100-100)</f>
        <v>0.16429660294096493</v>
      </c>
    </row>
    <row r="29" spans="1:7" ht="13.5" customHeight="1" x14ac:dyDescent="0.2">
      <c r="A29" s="37"/>
      <c r="B29" s="15"/>
    </row>
    <row r="30" spans="1:7" ht="13.5" customHeight="1" x14ac:dyDescent="0.2">
      <c r="A30" s="37"/>
      <c r="B30" s="17" t="s">
        <v>28</v>
      </c>
      <c r="C30" s="98">
        <f>IF(DTD_15!C30=0,"-",DTD_16!C30/DTD_15!C30*100-100)</f>
        <v>0.10641074285837249</v>
      </c>
      <c r="D30" s="98">
        <f>IF(DTD_15!D30=0,"-",DTD_16!D30/DTD_15!D30*100-100)</f>
        <v>2.8717469146453993</v>
      </c>
      <c r="E30" s="98">
        <f>IF(DTD_15!E30=0,"-",DTD_16!E30/DTD_15!E30*100-100)</f>
        <v>4.2192108600531242E-2</v>
      </c>
      <c r="F30" s="98">
        <f>IF(DTD_15!F30=0,"-",DTD_16!F30/DTD_15!F30*100-100)</f>
        <v>0.54735148823243662</v>
      </c>
      <c r="G30" s="99">
        <f>IF(DTD_15!G30=0,"-",DTD_16!G30/DTD_15!G30*100-100)</f>
        <v>-1.9915092125529554E-2</v>
      </c>
    </row>
    <row r="31" spans="1:7" ht="13.5" customHeight="1" x14ac:dyDescent="0.2">
      <c r="A31" s="37"/>
      <c r="B31" s="19" t="s">
        <v>29</v>
      </c>
      <c r="C31" s="100">
        <f>IF(DTD_15!C31=0,"-",DTD_16!C31/DTD_15!C31*100-100)</f>
        <v>1.2032329758938403</v>
      </c>
      <c r="D31" s="100">
        <f>IF(DTD_15!D31=0,"-",DTD_16!D31/DTD_15!D31*100-100)</f>
        <v>5.8835513013990379</v>
      </c>
      <c r="E31" s="100">
        <f>IF(DTD_15!E31=0,"-",DTD_16!E31/DTD_15!E31*100-100)</f>
        <v>1.1191117519678642</v>
      </c>
      <c r="F31" s="100">
        <f>IF(DTD_15!F31=0,"-",DTD_16!F31/DTD_15!F31*100-100)</f>
        <v>2.8993652094767413</v>
      </c>
      <c r="G31" s="101">
        <f>IF(DTD_15!G31=0,"-",DTD_16!G31/DTD_15!G31*100-100)</f>
        <v>0.9356679799394243</v>
      </c>
    </row>
    <row r="32" spans="1:7" ht="13.5" customHeight="1" x14ac:dyDescent="0.2">
      <c r="A32" s="37"/>
      <c r="B32" s="19" t="s">
        <v>30</v>
      </c>
      <c r="C32" s="100">
        <f>IF(DTD_15!C32=0,"-",DTD_16!C32/DTD_15!C32*100-100)</f>
        <v>-0.13874805022076941</v>
      </c>
      <c r="D32" s="100">
        <f>IF(DTD_15!D32=0,"-",DTD_16!D32/DTD_15!D32*100-100)</f>
        <v>1.9586128365772311</v>
      </c>
      <c r="E32" s="100">
        <f>IF(DTD_15!E32=0,"-",DTD_16!E32/DTD_15!E32*100-100)</f>
        <v>-0.18268482354201865</v>
      </c>
      <c r="F32" s="100">
        <f>IF(DTD_15!F32=0,"-",DTD_16!F32/DTD_15!F32*100-100)</f>
        <v>5.0421202903513631</v>
      </c>
      <c r="G32" s="101">
        <f>IF(DTD_15!G32=0,"-",DTD_16!G32/DTD_15!G32*100-100)</f>
        <v>-0.79869911098865032</v>
      </c>
    </row>
    <row r="33" spans="1:7" ht="13.5" customHeight="1" x14ac:dyDescent="0.2">
      <c r="A33" s="37"/>
      <c r="B33" s="19" t="s">
        <v>31</v>
      </c>
      <c r="C33" s="100">
        <f>IF(DTD_15!C33=0,"-",DTD_16!C33/DTD_15!C33*100-100)</f>
        <v>1.3868050510082099</v>
      </c>
      <c r="D33" s="100">
        <f>IF(DTD_15!D33=0,"-",DTD_16!D33/DTD_15!D33*100-100)</f>
        <v>36.587298031134566</v>
      </c>
      <c r="E33" s="100">
        <f>IF(DTD_15!E33=0,"-",DTD_16!E33/DTD_15!E33*100-100)</f>
        <v>0.70421875209945028</v>
      </c>
      <c r="F33" s="100">
        <f>IF(DTD_15!F33=0,"-",DTD_16!F33/DTD_15!F33*100-100)</f>
        <v>-0.64333367362434046</v>
      </c>
      <c r="G33" s="101">
        <f>IF(DTD_15!G33=0,"-",DTD_16!G33/DTD_15!G33*100-100)</f>
        <v>0.86905515637197084</v>
      </c>
    </row>
    <row r="34" spans="1:7" ht="13.5" customHeight="1" x14ac:dyDescent="0.2">
      <c r="B34" s="20" t="s">
        <v>32</v>
      </c>
      <c r="C34" s="102">
        <f>IF(DTD_15!C34=0,"-",DTD_16!C34/DTD_15!C34*100-100)</f>
        <v>1.0356327767421618</v>
      </c>
      <c r="D34" s="102">
        <f>IF(DTD_15!D34=0,"-",DTD_16!D34/DTD_15!D34*100-100)</f>
        <v>15.025253708079831</v>
      </c>
      <c r="E34" s="102">
        <f>IF(DTD_15!E34=0,"-",DTD_16!E34/DTD_15!E34*100-100)</f>
        <v>0.63733101436281459</v>
      </c>
      <c r="F34" s="102">
        <f>IF(DTD_15!F34=0,"-",DTD_16!F34/DTD_15!F34*100-100)</f>
        <v>3.9033653119302727</v>
      </c>
      <c r="G34" s="103">
        <f>IF(DTD_15!G34=0,"-",DTD_16!G34/DTD_15!G34*100-100)</f>
        <v>0.34902692705809102</v>
      </c>
    </row>
    <row r="35" spans="1:7" ht="13.5" customHeight="1" x14ac:dyDescent="0.2">
      <c r="B35" s="13" t="s">
        <v>14</v>
      </c>
      <c r="C35" s="94">
        <f>IF(DTD_15!C35=0,"-",DTD_16!C35/DTD_15!C35*100-100)</f>
        <v>0.55706708609154987</v>
      </c>
      <c r="D35" s="94">
        <f>IF(DTD_15!D35=0,"-",DTD_16!D35/DTD_15!D35*100-100)</f>
        <v>11.112455441454898</v>
      </c>
      <c r="E35" s="94">
        <f>IF(DTD_15!E35=0,"-",DTD_16!E35/DTD_15!E35*100-100)</f>
        <v>0.3277513156021854</v>
      </c>
      <c r="F35" s="94">
        <f>IF(DTD_15!F35=0,"-",DTD_16!F35/DTD_15!F35*100-100)</f>
        <v>1.7365507458564764</v>
      </c>
      <c r="G35" s="95">
        <f>IF(DTD_15!G35=0,"-",DTD_16!G35/DTD_15!G35*100-100)</f>
        <v>0.16429660294096493</v>
      </c>
    </row>
    <row r="36" spans="1:7" ht="13.5" customHeight="1" x14ac:dyDescent="0.2"/>
    <row r="37" spans="1:7" ht="13.5" customHeight="1" x14ac:dyDescent="0.2"/>
    <row r="38" spans="1:7" ht="13.5" customHeight="1" x14ac:dyDescent="0.2"/>
    <row r="39" spans="1:7" ht="13.5" customHeight="1" x14ac:dyDescent="0.2"/>
    <row r="40" spans="1:7" ht="13.5" customHeight="1" x14ac:dyDescent="0.2"/>
    <row r="41" spans="1:7" ht="13.5" customHeight="1" x14ac:dyDescent="0.2"/>
    <row r="42" spans="1:7" ht="13.5" customHeight="1" x14ac:dyDescent="0.2"/>
    <row r="43" spans="1:7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3" orientation="landscape" horizontalDpi="300" verticalDpi="300" r:id="rId1"/>
  <headerFooter alignWithMargins="0">
    <oddHeader>&amp;CSide 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zoomScaleNormal="100" workbookViewId="0">
      <selection activeCell="K4" sqref="K4:K11"/>
    </sheetView>
  </sheetViews>
  <sheetFormatPr defaultColWidth="8.85546875" defaultRowHeight="12" x14ac:dyDescent="0.2"/>
  <cols>
    <col min="1" max="1" width="8.5703125" style="104" customWidth="1"/>
    <col min="2" max="2" width="39.28515625" style="104" customWidth="1"/>
    <col min="3" max="9" width="12.85546875" style="104" customWidth="1"/>
    <col min="10" max="10" width="7.42578125" style="104" customWidth="1"/>
    <col min="11" max="16384" width="8.85546875" style="104"/>
  </cols>
  <sheetData>
    <row r="1" spans="1:17" ht="15.75" x14ac:dyDescent="0.25">
      <c r="A1" s="72" t="str">
        <f>'Skema1-7_2015'!A1</f>
        <v>Endelig version 31. januar 2018</v>
      </c>
    </row>
    <row r="2" spans="1:17" ht="13.5" customHeight="1" x14ac:dyDescent="0.2">
      <c r="A2" s="105" t="s">
        <v>179</v>
      </c>
    </row>
    <row r="3" spans="1:17" ht="13.5" customHeight="1" x14ac:dyDescent="0.2">
      <c r="A3" s="90" t="s">
        <v>40</v>
      </c>
    </row>
    <row r="4" spans="1:17" ht="54" customHeight="1" x14ac:dyDescent="0.2">
      <c r="A4" s="73" t="s">
        <v>6</v>
      </c>
      <c r="B4" s="73" t="s">
        <v>0</v>
      </c>
      <c r="C4" s="12" t="s">
        <v>25</v>
      </c>
      <c r="D4" s="12" t="s">
        <v>24</v>
      </c>
      <c r="E4" s="12" t="s">
        <v>35</v>
      </c>
      <c r="F4" s="12" t="s">
        <v>21</v>
      </c>
      <c r="G4" s="12" t="s">
        <v>26</v>
      </c>
      <c r="H4" s="12" t="s">
        <v>43</v>
      </c>
      <c r="I4" s="12" t="s">
        <v>33</v>
      </c>
      <c r="K4" s="186"/>
    </row>
    <row r="5" spans="1:17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76">
        <v>5425352</v>
      </c>
      <c r="D5" s="29">
        <v>2822922</v>
      </c>
      <c r="E5" s="29">
        <f>C5+D5</f>
        <v>8248274</v>
      </c>
      <c r="F5" s="29">
        <v>563336</v>
      </c>
      <c r="G5" s="29">
        <v>79542.749343541451</v>
      </c>
      <c r="H5" s="29">
        <v>7979.9089999999997</v>
      </c>
      <c r="I5" s="29">
        <f>E5-SUM(F5:H5)-K5</f>
        <v>7597415.3416564586</v>
      </c>
      <c r="J5" s="106"/>
      <c r="K5" s="163"/>
      <c r="L5" s="106"/>
      <c r="M5" s="106"/>
      <c r="P5" s="106"/>
      <c r="Q5" s="190"/>
    </row>
    <row r="6" spans="1:17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76">
        <v>1726526</v>
      </c>
      <c r="D6" s="29">
        <v>1012039</v>
      </c>
      <c r="E6" s="29">
        <f t="shared" ref="E6:E27" si="0">C6+D6</f>
        <v>2738565</v>
      </c>
      <c r="F6" s="29">
        <v>118269</v>
      </c>
      <c r="G6" s="29">
        <v>5985.9898594869301</v>
      </c>
      <c r="H6" s="29">
        <v>6330.8090000000002</v>
      </c>
      <c r="I6" s="29">
        <f t="shared" ref="I6:I10" si="1">E6-SUM(F6:H6)-K6</f>
        <v>2607979.2011405132</v>
      </c>
      <c r="J6" s="106"/>
      <c r="K6" s="163"/>
      <c r="L6" s="106"/>
      <c r="M6" s="106"/>
      <c r="P6" s="106"/>
      <c r="Q6" s="190"/>
    </row>
    <row r="7" spans="1:17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76">
        <v>2191173</v>
      </c>
      <c r="D7" s="29">
        <v>931814</v>
      </c>
      <c r="E7" s="29">
        <f t="shared" si="0"/>
        <v>3122987</v>
      </c>
      <c r="F7" s="29">
        <v>28243</v>
      </c>
      <c r="G7" s="29">
        <v>35269.645147217903</v>
      </c>
      <c r="H7" s="29">
        <v>1035.8240000000001</v>
      </c>
      <c r="I7" s="29">
        <f t="shared" si="1"/>
        <v>3058438.5308527821</v>
      </c>
      <c r="J7" s="106"/>
      <c r="K7" s="163"/>
      <c r="L7" s="106"/>
      <c r="M7" s="106"/>
      <c r="P7" s="106"/>
      <c r="Q7" s="190"/>
    </row>
    <row r="8" spans="1:17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76">
        <v>2996792</v>
      </c>
      <c r="D8" s="29">
        <v>2550463</v>
      </c>
      <c r="E8" s="29">
        <f t="shared" si="0"/>
        <v>5547255</v>
      </c>
      <c r="F8" s="29">
        <v>578363</v>
      </c>
      <c r="G8" s="29">
        <v>28413.372752561234</v>
      </c>
      <c r="H8" s="29">
        <v>16884.501</v>
      </c>
      <c r="I8" s="29">
        <f t="shared" si="1"/>
        <v>4923594.1262474386</v>
      </c>
      <c r="J8" s="106"/>
      <c r="K8" s="163"/>
      <c r="L8" s="106"/>
      <c r="M8" s="106"/>
      <c r="P8" s="106"/>
      <c r="Q8" s="190"/>
    </row>
    <row r="9" spans="1:17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76">
        <v>1780501</v>
      </c>
      <c r="D9" s="29">
        <v>817209</v>
      </c>
      <c r="E9" s="29">
        <f t="shared" si="0"/>
        <v>2597710</v>
      </c>
      <c r="F9" s="29">
        <v>33866</v>
      </c>
      <c r="G9" s="29">
        <v>6220.2419701591134</v>
      </c>
      <c r="H9" s="29">
        <v>3793.5309999999999</v>
      </c>
      <c r="I9" s="29">
        <f t="shared" si="1"/>
        <v>2553830.2270298409</v>
      </c>
      <c r="J9" s="106"/>
      <c r="K9" s="163"/>
      <c r="L9" s="106"/>
      <c r="M9" s="106"/>
      <c r="P9" s="106"/>
      <c r="Q9" s="190"/>
    </row>
    <row r="10" spans="1:17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76">
        <v>222630</v>
      </c>
      <c r="D10" s="29">
        <v>139745</v>
      </c>
      <c r="E10" s="29">
        <f t="shared" si="0"/>
        <v>362375</v>
      </c>
      <c r="F10" s="29">
        <v>23773</v>
      </c>
      <c r="G10" s="29">
        <v>773.68487728797481</v>
      </c>
      <c r="H10" s="29">
        <v>0</v>
      </c>
      <c r="I10" s="29">
        <f t="shared" si="1"/>
        <v>337828.31512271205</v>
      </c>
      <c r="J10" s="106"/>
      <c r="K10" s="163"/>
      <c r="L10" s="106"/>
      <c r="M10" s="106"/>
      <c r="P10" s="106"/>
      <c r="Q10" s="190"/>
    </row>
    <row r="11" spans="1:17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76">
        <v>1972890</v>
      </c>
      <c r="D11" s="29">
        <v>1412219</v>
      </c>
      <c r="E11" s="29">
        <f t="shared" si="0"/>
        <v>3385109</v>
      </c>
      <c r="F11" s="29">
        <v>359049</v>
      </c>
      <c r="G11" s="29">
        <v>-54005.766281054355</v>
      </c>
      <c r="H11" s="29">
        <v>16980.058000000001</v>
      </c>
      <c r="I11" s="29">
        <f t="shared" ref="I11:I27" si="2">E11-SUM(F11:H11)</f>
        <v>3063085.7082810542</v>
      </c>
      <c r="J11" s="106"/>
      <c r="K11" s="106"/>
      <c r="L11" s="106"/>
      <c r="M11" s="106"/>
      <c r="P11" s="106"/>
    </row>
    <row r="12" spans="1:17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76">
        <v>797191</v>
      </c>
      <c r="D12" s="29">
        <v>386307</v>
      </c>
      <c r="E12" s="29">
        <f t="shared" si="0"/>
        <v>1183498</v>
      </c>
      <c r="F12" s="29">
        <v>39803</v>
      </c>
      <c r="G12" s="29">
        <v>-33758.055988464272</v>
      </c>
      <c r="H12" s="29">
        <v>0</v>
      </c>
      <c r="I12" s="29">
        <f t="shared" si="2"/>
        <v>1177453.0559884643</v>
      </c>
      <c r="J12" s="106"/>
      <c r="K12" s="106"/>
      <c r="L12" s="106"/>
      <c r="M12" s="106"/>
      <c r="P12" s="106"/>
    </row>
    <row r="13" spans="1:17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76">
        <v>1606203</v>
      </c>
      <c r="D13" s="29">
        <v>1226924</v>
      </c>
      <c r="E13" s="29">
        <f t="shared" si="0"/>
        <v>2833127</v>
      </c>
      <c r="F13" s="29">
        <v>354953</v>
      </c>
      <c r="G13" s="29">
        <v>-32133.449510328472</v>
      </c>
      <c r="H13" s="29">
        <v>0</v>
      </c>
      <c r="I13" s="29">
        <f t="shared" si="2"/>
        <v>2510307.4495103285</v>
      </c>
      <c r="J13" s="106"/>
      <c r="K13" s="106"/>
      <c r="L13" s="106"/>
      <c r="M13" s="106"/>
      <c r="P13" s="106"/>
    </row>
    <row r="14" spans="1:17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76">
        <v>635657</v>
      </c>
      <c r="D14" s="29">
        <v>176447</v>
      </c>
      <c r="E14" s="29">
        <f t="shared" si="0"/>
        <v>812104</v>
      </c>
      <c r="F14" s="29">
        <v>6100</v>
      </c>
      <c r="G14" s="29">
        <v>-19533.598616608768</v>
      </c>
      <c r="H14" s="29">
        <v>0</v>
      </c>
      <c r="I14" s="29">
        <f t="shared" si="2"/>
        <v>825537.59861660877</v>
      </c>
      <c r="J14" s="106"/>
      <c r="K14" s="106"/>
      <c r="L14" s="106"/>
      <c r="M14" s="106"/>
      <c r="P14" s="106"/>
    </row>
    <row r="15" spans="1:17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76">
        <v>3760971</v>
      </c>
      <c r="D15" s="29">
        <v>2988371</v>
      </c>
      <c r="E15" s="29">
        <f t="shared" si="0"/>
        <v>6749342</v>
      </c>
      <c r="F15" s="29">
        <v>570969</v>
      </c>
      <c r="G15" s="29">
        <v>13059.918783616275</v>
      </c>
      <c r="H15" s="29">
        <v>54090.898999999998</v>
      </c>
      <c r="I15" s="29">
        <f t="shared" si="2"/>
        <v>6111222.1822163835</v>
      </c>
      <c r="J15" s="106"/>
      <c r="K15" s="106"/>
      <c r="L15" s="106"/>
      <c r="M15" s="106"/>
      <c r="P15" s="106"/>
    </row>
    <row r="16" spans="1:17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76">
        <v>984608</v>
      </c>
      <c r="D16" s="29">
        <v>831226</v>
      </c>
      <c r="E16" s="29">
        <f t="shared" si="0"/>
        <v>1815834</v>
      </c>
      <c r="F16" s="29">
        <v>87649</v>
      </c>
      <c r="G16" s="29">
        <v>3389.823915049783</v>
      </c>
      <c r="H16" s="29">
        <v>895.13199999999995</v>
      </c>
      <c r="I16" s="29">
        <f t="shared" si="2"/>
        <v>1723900.0440849501</v>
      </c>
      <c r="J16" s="106"/>
      <c r="K16" s="106"/>
      <c r="L16" s="106"/>
      <c r="M16" s="106"/>
      <c r="P16" s="106"/>
    </row>
    <row r="17" spans="1:16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76">
        <v>1018371</v>
      </c>
      <c r="D17" s="29">
        <v>842105</v>
      </c>
      <c r="E17" s="29">
        <f t="shared" si="0"/>
        <v>1860476</v>
      </c>
      <c r="F17" s="29">
        <v>107501</v>
      </c>
      <c r="G17" s="29">
        <v>3544.9232655528467</v>
      </c>
      <c r="H17" s="29">
        <v>2382.107</v>
      </c>
      <c r="I17" s="29">
        <f t="shared" si="2"/>
        <v>1747047.9697344471</v>
      </c>
      <c r="J17" s="106"/>
      <c r="K17" s="106"/>
      <c r="L17" s="106"/>
      <c r="M17" s="106"/>
      <c r="P17" s="106"/>
    </row>
    <row r="18" spans="1:16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76">
        <v>900649</v>
      </c>
      <c r="D18" s="29">
        <v>572761</v>
      </c>
      <c r="E18" s="29">
        <f t="shared" si="0"/>
        <v>1473410</v>
      </c>
      <c r="F18" s="29">
        <v>37791</v>
      </c>
      <c r="G18" s="29">
        <v>17351.309691793984</v>
      </c>
      <c r="H18" s="29">
        <v>0</v>
      </c>
      <c r="I18" s="29">
        <f t="shared" si="2"/>
        <v>1418267.690308206</v>
      </c>
      <c r="J18" s="106"/>
      <c r="K18" s="106"/>
      <c r="L18" s="106"/>
      <c r="M18" s="106"/>
      <c r="P18" s="106"/>
    </row>
    <row r="19" spans="1:16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76">
        <v>755357</v>
      </c>
      <c r="D19" s="29">
        <v>1151539</v>
      </c>
      <c r="E19" s="29">
        <f t="shared" si="0"/>
        <v>1906896</v>
      </c>
      <c r="F19" s="29">
        <v>265835</v>
      </c>
      <c r="G19" s="29">
        <v>9289.6448197279824</v>
      </c>
      <c r="H19" s="29">
        <v>4063.7350000000001</v>
      </c>
      <c r="I19" s="29">
        <f t="shared" si="2"/>
        <v>1627707.620180272</v>
      </c>
      <c r="J19" s="106"/>
      <c r="K19" s="106"/>
      <c r="L19" s="106"/>
      <c r="M19" s="106"/>
      <c r="P19" s="106"/>
    </row>
    <row r="20" spans="1:16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76">
        <v>12910</v>
      </c>
      <c r="D20" s="29">
        <v>106781</v>
      </c>
      <c r="E20" s="29">
        <f t="shared" si="0"/>
        <v>119691</v>
      </c>
      <c r="F20" s="29">
        <v>53</v>
      </c>
      <c r="G20" s="29">
        <v>45.204871391022607</v>
      </c>
      <c r="H20" s="29">
        <v>0</v>
      </c>
      <c r="I20" s="29">
        <f t="shared" si="2"/>
        <v>119592.79512860898</v>
      </c>
      <c r="J20" s="106"/>
      <c r="K20" s="106"/>
      <c r="L20" s="106"/>
      <c r="M20" s="106"/>
      <c r="P20" s="106"/>
    </row>
    <row r="21" spans="1:16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76">
        <v>700648</v>
      </c>
      <c r="D21" s="29">
        <v>427778</v>
      </c>
      <c r="E21" s="29">
        <f t="shared" si="0"/>
        <v>1128426</v>
      </c>
      <c r="F21" s="29">
        <v>22739</v>
      </c>
      <c r="G21" s="29">
        <v>2420.6759199904045</v>
      </c>
      <c r="H21" s="29">
        <v>2186.8829999999998</v>
      </c>
      <c r="I21" s="29">
        <f t="shared" si="2"/>
        <v>1101079.4410800096</v>
      </c>
      <c r="J21" s="106"/>
      <c r="K21" s="106"/>
      <c r="L21" s="106"/>
      <c r="M21" s="106"/>
      <c r="P21" s="106"/>
    </row>
    <row r="22" spans="1:16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76">
        <v>1308276</v>
      </c>
      <c r="D22" s="29">
        <v>1084902</v>
      </c>
      <c r="E22" s="29">
        <f t="shared" si="0"/>
        <v>2393178</v>
      </c>
      <c r="F22" s="29">
        <v>206151</v>
      </c>
      <c r="G22" s="29">
        <v>4553.1398201985285</v>
      </c>
      <c r="H22" s="29">
        <v>0</v>
      </c>
      <c r="I22" s="29">
        <f t="shared" si="2"/>
        <v>2182473.8601798015</v>
      </c>
      <c r="J22" s="106"/>
      <c r="K22" s="106"/>
      <c r="L22" s="106"/>
      <c r="M22" s="106"/>
      <c r="P22" s="106"/>
    </row>
    <row r="23" spans="1:16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76">
        <v>3944189</v>
      </c>
      <c r="D23" s="29">
        <v>2832946</v>
      </c>
      <c r="E23" s="29">
        <f t="shared" si="0"/>
        <v>6777135</v>
      </c>
      <c r="F23" s="29">
        <v>707750</v>
      </c>
      <c r="G23" s="29">
        <v>13780.935420657042</v>
      </c>
      <c r="H23" s="29">
        <v>116969.492</v>
      </c>
      <c r="I23" s="29">
        <f t="shared" si="2"/>
        <v>5938634.5725793429</v>
      </c>
      <c r="J23" s="106"/>
      <c r="K23" s="106"/>
      <c r="L23" s="106"/>
      <c r="M23" s="106"/>
      <c r="P23" s="106"/>
    </row>
    <row r="24" spans="1:16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76">
        <v>782505</v>
      </c>
      <c r="D24" s="29">
        <v>490902</v>
      </c>
      <c r="E24" s="29">
        <f t="shared" si="0"/>
        <v>1273407</v>
      </c>
      <c r="F24" s="29">
        <v>16822</v>
      </c>
      <c r="G24" s="29">
        <v>2717.2147804164561</v>
      </c>
      <c r="H24" s="29">
        <v>0</v>
      </c>
      <c r="I24" s="29">
        <f t="shared" si="2"/>
        <v>1253867.7852195837</v>
      </c>
      <c r="J24" s="106"/>
      <c r="K24" s="106"/>
      <c r="L24" s="106"/>
      <c r="M24" s="106"/>
      <c r="P24" s="106"/>
    </row>
    <row r="25" spans="1:16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76">
        <v>1615501</v>
      </c>
      <c r="D25" s="29">
        <v>943240</v>
      </c>
      <c r="E25" s="29">
        <f t="shared" si="0"/>
        <v>2558741</v>
      </c>
      <c r="F25" s="29">
        <v>53278</v>
      </c>
      <c r="G25" s="29">
        <v>5599.7490200393368</v>
      </c>
      <c r="H25" s="29">
        <v>507.83800000000002</v>
      </c>
      <c r="I25" s="29">
        <f t="shared" si="2"/>
        <v>2499355.4129799604</v>
      </c>
      <c r="J25" s="106"/>
      <c r="K25" s="106"/>
      <c r="L25" s="106"/>
      <c r="M25" s="106"/>
      <c r="P25" s="106"/>
    </row>
    <row r="26" spans="1:16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76">
        <v>2467781</v>
      </c>
      <c r="D26" s="29">
        <v>1894450</v>
      </c>
      <c r="E26" s="29">
        <f t="shared" si="0"/>
        <v>4362231</v>
      </c>
      <c r="F26" s="29">
        <v>419063</v>
      </c>
      <c r="G26" s="29">
        <v>11171.454983239528</v>
      </c>
      <c r="H26" s="29">
        <v>0</v>
      </c>
      <c r="I26" s="29">
        <f t="shared" si="2"/>
        <v>3931996.5450167605</v>
      </c>
      <c r="J26" s="106"/>
      <c r="K26" s="106"/>
      <c r="L26" s="106"/>
      <c r="M26" s="106"/>
      <c r="P26" s="106"/>
    </row>
    <row r="27" spans="1:16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76">
        <v>890974</v>
      </c>
      <c r="D27" s="29">
        <v>553104</v>
      </c>
      <c r="E27" s="29">
        <f t="shared" si="0"/>
        <v>1444078</v>
      </c>
      <c r="F27" s="29">
        <v>108826</v>
      </c>
      <c r="G27" s="29">
        <v>4708.2176825051429</v>
      </c>
      <c r="H27" s="29">
        <v>0</v>
      </c>
      <c r="I27" s="29">
        <f t="shared" si="2"/>
        <v>1330543.782317495</v>
      </c>
      <c r="J27" s="106"/>
      <c r="K27" s="106"/>
      <c r="L27" s="106"/>
      <c r="M27" s="106"/>
      <c r="P27" s="106"/>
    </row>
    <row r="28" spans="1:16" ht="13.5" customHeight="1" x14ac:dyDescent="0.2">
      <c r="A28" s="13"/>
      <c r="B28" s="13" t="s">
        <v>14</v>
      </c>
      <c r="C28" s="14">
        <f t="shared" ref="C28:I28" si="3">SUM(C5:C27)</f>
        <v>38497655</v>
      </c>
      <c r="D28" s="14">
        <v>26196195</v>
      </c>
      <c r="E28" s="14">
        <f t="shared" si="3"/>
        <v>64693849</v>
      </c>
      <c r="F28" s="14">
        <f t="shared" si="3"/>
        <v>4710182</v>
      </c>
      <c r="G28" s="14">
        <f t="shared" si="3"/>
        <v>108407.02652797707</v>
      </c>
      <c r="H28" s="14">
        <f t="shared" si="3"/>
        <v>234100.71799999999</v>
      </c>
      <c r="I28" s="14">
        <f t="shared" si="3"/>
        <v>59641159.255472019</v>
      </c>
      <c r="J28" s="107"/>
    </row>
    <row r="29" spans="1:16" ht="13.5" customHeight="1" x14ac:dyDescent="0.2">
      <c r="A29" s="37"/>
      <c r="B29" s="15"/>
      <c r="C29" s="16"/>
      <c r="D29" s="16"/>
      <c r="E29" s="16"/>
      <c r="F29" s="16"/>
      <c r="G29" s="16"/>
      <c r="H29" s="16"/>
      <c r="I29" s="16"/>
      <c r="J29" s="107"/>
    </row>
    <row r="30" spans="1:16" ht="13.5" customHeight="1" x14ac:dyDescent="0.2">
      <c r="A30" s="37"/>
      <c r="B30" s="17" t="s">
        <v>28</v>
      </c>
      <c r="C30" s="18">
        <f t="shared" ref="C30:I30" si="4">SUM(C5:C10)</f>
        <v>14342974</v>
      </c>
      <c r="D30" s="18">
        <f t="shared" si="4"/>
        <v>8274192</v>
      </c>
      <c r="E30" s="18">
        <f t="shared" si="4"/>
        <v>22617166</v>
      </c>
      <c r="F30" s="18">
        <f t="shared" si="4"/>
        <v>1345850</v>
      </c>
      <c r="G30" s="18">
        <f t="shared" si="4"/>
        <v>156205.68395025461</v>
      </c>
      <c r="H30" s="18">
        <f t="shared" si="4"/>
        <v>36024.574000000001</v>
      </c>
      <c r="I30" s="6">
        <f t="shared" si="4"/>
        <v>21079085.742049746</v>
      </c>
      <c r="J30" s="107"/>
    </row>
    <row r="31" spans="1:16" ht="13.5" customHeight="1" x14ac:dyDescent="0.2">
      <c r="A31" s="37"/>
      <c r="B31" s="19" t="s">
        <v>29</v>
      </c>
      <c r="C31" s="5">
        <f t="shared" ref="C31:I31" si="5">SUM(C11:C14)</f>
        <v>5011941</v>
      </c>
      <c r="D31" s="5">
        <f t="shared" si="5"/>
        <v>3201897</v>
      </c>
      <c r="E31" s="5">
        <f t="shared" si="5"/>
        <v>8213838</v>
      </c>
      <c r="F31" s="5">
        <f t="shared" si="5"/>
        <v>759905</v>
      </c>
      <c r="G31" s="5">
        <f t="shared" si="5"/>
        <v>-139430.87039645587</v>
      </c>
      <c r="H31" s="5">
        <f t="shared" si="5"/>
        <v>16980.058000000001</v>
      </c>
      <c r="I31" s="8">
        <f t="shared" si="5"/>
        <v>7576383.8123964556</v>
      </c>
      <c r="J31" s="107"/>
    </row>
    <row r="32" spans="1:16" ht="13.5" customHeight="1" x14ac:dyDescent="0.2">
      <c r="A32" s="37"/>
      <c r="B32" s="19" t="s">
        <v>30</v>
      </c>
      <c r="C32" s="5">
        <f t="shared" ref="C32:I32" si="6">SUM(C15:C20)</f>
        <v>7432866</v>
      </c>
      <c r="D32" s="5">
        <f t="shared" si="6"/>
        <v>6492783</v>
      </c>
      <c r="E32" s="5">
        <f t="shared" si="6"/>
        <v>13925649</v>
      </c>
      <c r="F32" s="5">
        <f t="shared" si="6"/>
        <v>1069798</v>
      </c>
      <c r="G32" s="5">
        <f t="shared" si="6"/>
        <v>46680.825347131889</v>
      </c>
      <c r="H32" s="5">
        <f t="shared" si="6"/>
        <v>61431.872999999992</v>
      </c>
      <c r="I32" s="8">
        <f t="shared" si="6"/>
        <v>12747738.301652865</v>
      </c>
      <c r="J32" s="107"/>
    </row>
    <row r="33" spans="1:10" ht="13.5" customHeight="1" x14ac:dyDescent="0.2">
      <c r="A33" s="37"/>
      <c r="B33" s="19" t="s">
        <v>31</v>
      </c>
      <c r="C33" s="5">
        <f t="shared" ref="C33:I33" si="7">SUM(C21:C25)</f>
        <v>8351119</v>
      </c>
      <c r="D33" s="5">
        <f t="shared" si="7"/>
        <v>5779768</v>
      </c>
      <c r="E33" s="5">
        <f t="shared" si="7"/>
        <v>14130887</v>
      </c>
      <c r="F33" s="5">
        <f t="shared" si="7"/>
        <v>1006740</v>
      </c>
      <c r="G33" s="5">
        <f t="shared" si="7"/>
        <v>29071.714961301768</v>
      </c>
      <c r="H33" s="5">
        <f t="shared" si="7"/>
        <v>119664.213</v>
      </c>
      <c r="I33" s="8">
        <f t="shared" si="7"/>
        <v>12975411.072038699</v>
      </c>
      <c r="J33" s="107"/>
    </row>
    <row r="34" spans="1:10" ht="13.5" customHeight="1" x14ac:dyDescent="0.2">
      <c r="A34" s="38"/>
      <c r="B34" s="20" t="s">
        <v>32</v>
      </c>
      <c r="C34" s="10">
        <f t="shared" ref="C34:I34" si="8">+SUM(C26:C27)</f>
        <v>3358755</v>
      </c>
      <c r="D34" s="10">
        <f t="shared" si="8"/>
        <v>2447554</v>
      </c>
      <c r="E34" s="10">
        <f t="shared" si="8"/>
        <v>5806309</v>
      </c>
      <c r="F34" s="10">
        <f t="shared" si="8"/>
        <v>527889</v>
      </c>
      <c r="G34" s="10">
        <f t="shared" si="8"/>
        <v>15879.672665744671</v>
      </c>
      <c r="H34" s="10">
        <f t="shared" si="8"/>
        <v>0</v>
      </c>
      <c r="I34" s="21">
        <f t="shared" si="8"/>
        <v>5262540.327334255</v>
      </c>
      <c r="J34" s="107"/>
    </row>
    <row r="35" spans="1:10" ht="13.5" customHeight="1" x14ac:dyDescent="0.2">
      <c r="A35" s="38"/>
      <c r="B35" s="13" t="s">
        <v>14</v>
      </c>
      <c r="C35" s="22">
        <f t="shared" ref="C35:I35" si="9">SUM(C30:C34)</f>
        <v>38497655</v>
      </c>
      <c r="D35" s="94">
        <f t="shared" si="9"/>
        <v>26196194</v>
      </c>
      <c r="E35" s="22">
        <f t="shared" si="9"/>
        <v>64693849</v>
      </c>
      <c r="F35" s="22">
        <f t="shared" si="9"/>
        <v>4710182</v>
      </c>
      <c r="G35" s="22">
        <f t="shared" si="9"/>
        <v>108407.02652797707</v>
      </c>
      <c r="H35" s="22">
        <f t="shared" si="9"/>
        <v>234100.71799999999</v>
      </c>
      <c r="I35" s="23">
        <f t="shared" si="9"/>
        <v>59641159.255472019</v>
      </c>
      <c r="J35" s="107"/>
    </row>
    <row r="36" spans="1:10" ht="13.5" customHeight="1" x14ac:dyDescent="0.2">
      <c r="J36" s="107"/>
    </row>
    <row r="37" spans="1:10" ht="13.5" customHeight="1" x14ac:dyDescent="0.2">
      <c r="J37" s="107"/>
    </row>
    <row r="38" spans="1:10" ht="13.5" customHeight="1" x14ac:dyDescent="0.2"/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67" orientation="landscape" cellComments="asDisplayed" horizontalDpi="300" verticalDpi="300" r:id="rId1"/>
  <headerFooter alignWithMargins="0">
    <oddHeader>&amp;CSide &amp;P / &amp;N</oddHeader>
  </headerFooter>
  <ignoredErrors>
    <ignoredError sqref="C30:I3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Normal="100" workbookViewId="0">
      <selection activeCell="L19" sqref="L19"/>
    </sheetView>
  </sheetViews>
  <sheetFormatPr defaultColWidth="8.85546875" defaultRowHeight="12" x14ac:dyDescent="0.2"/>
  <cols>
    <col min="1" max="1" width="8.5703125" style="104" customWidth="1"/>
    <col min="2" max="2" width="39.28515625" style="104" customWidth="1"/>
    <col min="3" max="9" width="12.85546875" style="104" customWidth="1"/>
    <col min="10" max="10" width="6.85546875" style="104" customWidth="1"/>
    <col min="11" max="16384" width="8.85546875" style="104"/>
  </cols>
  <sheetData>
    <row r="1" spans="1:18" ht="15.75" x14ac:dyDescent="0.25">
      <c r="A1" s="72" t="str">
        <f>'Skema1-7_2015'!A1</f>
        <v>Endelig version 31. januar 2018</v>
      </c>
    </row>
    <row r="2" spans="1:18" ht="13.5" customHeight="1" x14ac:dyDescent="0.2">
      <c r="A2" s="105" t="s">
        <v>180</v>
      </c>
    </row>
    <row r="3" spans="1:18" ht="13.5" customHeight="1" x14ac:dyDescent="0.2">
      <c r="A3" s="90" t="s">
        <v>46</v>
      </c>
    </row>
    <row r="4" spans="1:18" ht="54" customHeight="1" x14ac:dyDescent="0.2">
      <c r="A4" s="73" t="s">
        <v>6</v>
      </c>
      <c r="B4" s="73" t="s">
        <v>0</v>
      </c>
      <c r="C4" s="12" t="s">
        <v>25</v>
      </c>
      <c r="D4" s="12" t="s">
        <v>24</v>
      </c>
      <c r="E4" s="12" t="s">
        <v>35</v>
      </c>
      <c r="F4" s="12" t="s">
        <v>21</v>
      </c>
      <c r="G4" s="12" t="s">
        <v>26</v>
      </c>
      <c r="H4" s="12" t="s">
        <v>43</v>
      </c>
      <c r="I4" s="12" t="s">
        <v>33</v>
      </c>
      <c r="K4" s="185"/>
      <c r="N4" s="107"/>
    </row>
    <row r="5" spans="1:18" ht="13.5" customHeight="1" x14ac:dyDescent="0.2">
      <c r="A5" s="74">
        <f>+'(skema1-7_2015 - 15pl)'!A5</f>
        <v>1301</v>
      </c>
      <c r="B5" s="4" t="str">
        <f>+'(skema1-7_2015 - 15pl)'!B5</f>
        <v>Rigshospitalet</v>
      </c>
      <c r="C5" s="76">
        <v>5280640</v>
      </c>
      <c r="D5" s="29">
        <v>3084328</v>
      </c>
      <c r="E5" s="29">
        <f>C5+D5</f>
        <v>8364968</v>
      </c>
      <c r="F5" s="29">
        <v>708669</v>
      </c>
      <c r="G5" s="29">
        <v>35899.677454597317</v>
      </c>
      <c r="H5" s="29"/>
      <c r="I5" s="29">
        <f>E5-SUM(F5:H5)-K5</f>
        <v>7620399.3225454027</v>
      </c>
      <c r="J5" s="52"/>
      <c r="K5" s="163"/>
      <c r="L5" s="106"/>
      <c r="M5" s="106"/>
      <c r="N5" s="163"/>
      <c r="P5" s="106"/>
      <c r="R5" s="106"/>
    </row>
    <row r="6" spans="1:18" ht="13.5" customHeight="1" x14ac:dyDescent="0.2">
      <c r="A6" s="75">
        <f>+'(skema1-7_2015 - 15pl)'!A6</f>
        <v>1309</v>
      </c>
      <c r="B6" s="7" t="str">
        <f>+'(skema1-7_2015 - 15pl)'!B6</f>
        <v>Bispebjerg og Frederiksberg Hospital</v>
      </c>
      <c r="C6" s="76">
        <v>1636855</v>
      </c>
      <c r="D6" s="29">
        <v>872596</v>
      </c>
      <c r="E6" s="29">
        <f t="shared" ref="E6:E27" si="0">C6+D6</f>
        <v>2509451</v>
      </c>
      <c r="F6" s="29">
        <v>70635</v>
      </c>
      <c r="G6" s="29">
        <v>2702.0038385777734</v>
      </c>
      <c r="H6" s="29"/>
      <c r="I6" s="29">
        <f t="shared" ref="I6:I10" si="1">E6-SUM(F6:H6)-K6</f>
        <v>2436113.9961614222</v>
      </c>
      <c r="J6" s="52"/>
      <c r="K6" s="163"/>
      <c r="L6" s="106"/>
      <c r="M6" s="106"/>
      <c r="N6" s="163"/>
      <c r="P6" s="106"/>
      <c r="R6" s="106"/>
    </row>
    <row r="7" spans="1:18" ht="13.5" customHeight="1" x14ac:dyDescent="0.2">
      <c r="A7" s="75">
        <f>+'(skema1-7_2015 - 15pl)'!A7</f>
        <v>1330</v>
      </c>
      <c r="B7" s="7" t="str">
        <f>+'(skema1-7_2015 - 15pl)'!B7</f>
        <v>Amager og Hvidovre Hospital</v>
      </c>
      <c r="C7" s="76">
        <v>2312210</v>
      </c>
      <c r="D7" s="29">
        <v>1003306</v>
      </c>
      <c r="E7" s="29">
        <f t="shared" si="0"/>
        <v>3315516</v>
      </c>
      <c r="F7" s="29">
        <v>65912</v>
      </c>
      <c r="G7" s="29">
        <v>15226.765988664236</v>
      </c>
      <c r="H7" s="29"/>
      <c r="I7" s="29">
        <f t="shared" si="1"/>
        <v>3234377.2340113358</v>
      </c>
      <c r="J7" s="52"/>
      <c r="K7" s="163"/>
      <c r="L7" s="106"/>
      <c r="M7" s="106"/>
      <c r="N7" s="163"/>
      <c r="P7" s="106"/>
      <c r="R7" s="106"/>
    </row>
    <row r="8" spans="1:18" ht="13.5" customHeight="1" x14ac:dyDescent="0.2">
      <c r="A8" s="75">
        <f>+'(skema1-7_2015 - 15pl)'!A8</f>
        <v>1516</v>
      </c>
      <c r="B8" s="7" t="str">
        <f>+'(skema1-7_2015 - 15pl)'!B8</f>
        <v>Herlev og Gentofte Hospital</v>
      </c>
      <c r="C8" s="76">
        <v>2832978</v>
      </c>
      <c r="D8" s="29">
        <v>2497479</v>
      </c>
      <c r="E8" s="29">
        <f t="shared" si="0"/>
        <v>5330457</v>
      </c>
      <c r="F8" s="29">
        <v>596395</v>
      </c>
      <c r="G8" s="29">
        <v>9929.3527057161555</v>
      </c>
      <c r="H8" s="29"/>
      <c r="I8" s="29">
        <f t="shared" si="1"/>
        <v>4724132.6472942838</v>
      </c>
      <c r="J8" s="52"/>
      <c r="K8" s="163"/>
      <c r="L8" s="106"/>
      <c r="M8" s="106"/>
      <c r="N8" s="163"/>
      <c r="P8" s="106"/>
      <c r="R8" s="106"/>
    </row>
    <row r="9" spans="1:18" ht="13.5" customHeight="1" x14ac:dyDescent="0.2">
      <c r="A9" s="75">
        <f>+'(skema1-7_2015 - 15pl)'!A9</f>
        <v>2000</v>
      </c>
      <c r="B9" s="7" t="str">
        <f>+'(skema1-7_2015 - 15pl)'!B9</f>
        <v>Nordsjællands Hospital</v>
      </c>
      <c r="C9" s="76">
        <v>1867237</v>
      </c>
      <c r="D9" s="29">
        <v>823193</v>
      </c>
      <c r="E9" s="29">
        <f t="shared" si="0"/>
        <v>2690430</v>
      </c>
      <c r="F9" s="29">
        <v>29469</v>
      </c>
      <c r="G9" s="29">
        <v>6516.090760918567</v>
      </c>
      <c r="H9" s="29"/>
      <c r="I9" s="29">
        <f t="shared" si="1"/>
        <v>2654444.9092390817</v>
      </c>
      <c r="J9" s="52"/>
      <c r="K9" s="163"/>
      <c r="L9" s="106"/>
      <c r="M9" s="106"/>
      <c r="N9" s="163"/>
      <c r="P9" s="106"/>
      <c r="R9" s="106"/>
    </row>
    <row r="10" spans="1:18" ht="13.5" customHeight="1" x14ac:dyDescent="0.2">
      <c r="A10" s="75">
        <f>+'(skema1-7_2015 - 15pl)'!A10</f>
        <v>4001</v>
      </c>
      <c r="B10" s="7" t="str">
        <f>+'(skema1-7_2015 - 15pl)'!B10</f>
        <v>Bornholms Hospital</v>
      </c>
      <c r="C10" s="76">
        <v>227046</v>
      </c>
      <c r="D10" s="29">
        <v>145319</v>
      </c>
      <c r="E10" s="29">
        <f t="shared" si="0"/>
        <v>372365</v>
      </c>
      <c r="F10" s="29">
        <v>23734</v>
      </c>
      <c r="G10" s="29">
        <v>787.48627062010928</v>
      </c>
      <c r="H10" s="29"/>
      <c r="I10" s="29">
        <f t="shared" si="1"/>
        <v>347843.51372937986</v>
      </c>
      <c r="J10" s="52"/>
      <c r="K10" s="163"/>
      <c r="M10" s="106"/>
      <c r="N10" s="163"/>
      <c r="P10" s="106"/>
      <c r="R10" s="106"/>
    </row>
    <row r="11" spans="1:18" ht="13.5" customHeight="1" x14ac:dyDescent="0.2">
      <c r="A11" s="75">
        <f>+'(skema1-7_2015 - 15pl)'!A11</f>
        <v>3810</v>
      </c>
      <c r="B11" s="7" t="str">
        <f>+'(skema1-7_2015 - 15pl)'!B11</f>
        <v>Sjællands Universitetshospital</v>
      </c>
      <c r="C11" s="76">
        <v>2054944</v>
      </c>
      <c r="D11" s="29">
        <v>2116656</v>
      </c>
      <c r="E11" s="29">
        <f t="shared" si="0"/>
        <v>4171600</v>
      </c>
      <c r="F11" s="29">
        <v>746663</v>
      </c>
      <c r="G11" s="29">
        <v>-68038.203730933834</v>
      </c>
      <c r="H11" s="29"/>
      <c r="I11" s="29">
        <f t="shared" ref="I11:I27" si="2">E11-SUM(F11:H11)</f>
        <v>3492975.2037309338</v>
      </c>
      <c r="J11" s="52"/>
      <c r="K11" s="108"/>
      <c r="M11" s="106"/>
      <c r="N11" s="163"/>
      <c r="P11" s="106"/>
      <c r="R11" s="106"/>
    </row>
    <row r="12" spans="1:18" ht="13.5" customHeight="1" x14ac:dyDescent="0.2">
      <c r="A12" s="75">
        <f>+'(skema1-7_2015 - 15pl)'!A12</f>
        <v>3820</v>
      </c>
      <c r="B12" s="7" t="str">
        <f>+'(skema1-7_2015 - 15pl)'!B12</f>
        <v>Holbæk Sygehus</v>
      </c>
      <c r="C12" s="76">
        <v>878129</v>
      </c>
      <c r="D12" s="29">
        <v>411304</v>
      </c>
      <c r="E12" s="29">
        <f t="shared" si="0"/>
        <v>1289433</v>
      </c>
      <c r="F12" s="29">
        <v>42932</v>
      </c>
      <c r="G12" s="29">
        <v>-30858.664758236846</v>
      </c>
      <c r="H12" s="29"/>
      <c r="I12" s="29">
        <f t="shared" si="2"/>
        <v>1277359.6647582368</v>
      </c>
      <c r="J12" s="52"/>
      <c r="K12" s="108"/>
      <c r="M12" s="106"/>
      <c r="N12" s="163"/>
      <c r="P12" s="106"/>
      <c r="R12" s="106"/>
    </row>
    <row r="13" spans="1:18" ht="13.5" customHeight="1" x14ac:dyDescent="0.2">
      <c r="A13" s="75">
        <f>+'(skema1-7_2015 - 15pl)'!A13</f>
        <v>3830</v>
      </c>
      <c r="B13" s="7" t="str">
        <f>+'(skema1-7_2015 - 15pl)'!B13</f>
        <v>Næstved, Slagelse og Ringsted sygehuse</v>
      </c>
      <c r="C13" s="76">
        <v>1380777</v>
      </c>
      <c r="D13" s="29">
        <v>703623</v>
      </c>
      <c r="E13" s="29">
        <f t="shared" si="0"/>
        <v>2084400</v>
      </c>
      <c r="F13" s="29">
        <v>44658</v>
      </c>
      <c r="G13" s="29">
        <v>-33391.718210872961</v>
      </c>
      <c r="H13" s="29"/>
      <c r="I13" s="29">
        <f t="shared" si="2"/>
        <v>2073133.718210873</v>
      </c>
      <c r="J13" s="52"/>
      <c r="K13" s="108"/>
      <c r="M13" s="106"/>
      <c r="N13" s="163"/>
      <c r="P13" s="106"/>
      <c r="R13" s="106"/>
    </row>
    <row r="14" spans="1:18" ht="13.5" customHeight="1" x14ac:dyDescent="0.2">
      <c r="A14" s="75">
        <f>+'(skema1-7_2015 - 15pl)'!A14</f>
        <v>3840</v>
      </c>
      <c r="B14" s="7" t="str">
        <f>+'(skema1-7_2015 - 15pl)'!B14</f>
        <v>Nykøbing Sygehus</v>
      </c>
      <c r="C14" s="76">
        <v>678871</v>
      </c>
      <c r="D14" s="29">
        <v>176299</v>
      </c>
      <c r="E14" s="29">
        <f t="shared" si="0"/>
        <v>855170</v>
      </c>
      <c r="F14" s="29">
        <v>7192</v>
      </c>
      <c r="G14" s="29">
        <v>-29635.669644069159</v>
      </c>
      <c r="H14" s="29"/>
      <c r="I14" s="29">
        <f t="shared" si="2"/>
        <v>877613.66964406916</v>
      </c>
      <c r="J14" s="52"/>
      <c r="K14" s="108"/>
      <c r="M14" s="106"/>
      <c r="N14" s="163"/>
      <c r="P14" s="106"/>
      <c r="R14" s="106"/>
    </row>
    <row r="15" spans="1:18" ht="13.5" customHeight="1" x14ac:dyDescent="0.2">
      <c r="A15" s="75">
        <f>+'(skema1-7_2015 - 15pl)'!A15</f>
        <v>4202</v>
      </c>
      <c r="B15" s="7" t="str">
        <f>+'(skema1-7_2015 - 15pl)'!B15</f>
        <v>Odense Universitetshospital</v>
      </c>
      <c r="C15" s="76">
        <v>3734867</v>
      </c>
      <c r="D15" s="29">
        <v>3230972</v>
      </c>
      <c r="E15" s="29">
        <f t="shared" si="0"/>
        <v>6965839</v>
      </c>
      <c r="F15" s="29">
        <v>713205</v>
      </c>
      <c r="G15" s="29">
        <v>12950.034920960665</v>
      </c>
      <c r="H15" s="29"/>
      <c r="I15" s="29">
        <f t="shared" si="2"/>
        <v>6239683.9650790393</v>
      </c>
      <c r="J15" s="52"/>
      <c r="K15" s="107"/>
      <c r="M15" s="106"/>
      <c r="N15" s="163"/>
      <c r="P15" s="106"/>
      <c r="R15" s="106"/>
    </row>
    <row r="16" spans="1:18" ht="13.5" customHeight="1" x14ac:dyDescent="0.2">
      <c r="A16" s="75">
        <f>+'(skema1-7_2015 - 15pl)'!A16</f>
        <v>5000</v>
      </c>
      <c r="B16" s="7" t="str">
        <f>+'(skema1-7_2015 - 15pl)'!B16</f>
        <v>Sygehus Sønderjylland</v>
      </c>
      <c r="C16" s="76">
        <v>985906</v>
      </c>
      <c r="D16" s="29">
        <v>887966</v>
      </c>
      <c r="E16" s="29">
        <f t="shared" si="0"/>
        <v>1873872</v>
      </c>
      <c r="F16" s="29">
        <v>120314</v>
      </c>
      <c r="G16" s="29">
        <v>3400.9641166420188</v>
      </c>
      <c r="H16" s="29"/>
      <c r="I16" s="29">
        <f t="shared" si="2"/>
        <v>1750157.035883358</v>
      </c>
      <c r="J16" s="52"/>
      <c r="K16" s="108"/>
      <c r="M16" s="106"/>
      <c r="N16" s="163"/>
      <c r="P16" s="106"/>
      <c r="R16" s="106"/>
    </row>
    <row r="17" spans="1:18" ht="13.5" customHeight="1" x14ac:dyDescent="0.2">
      <c r="A17" s="75">
        <f>+'(skema1-7_2015 - 15pl)'!A17</f>
        <v>5501</v>
      </c>
      <c r="B17" s="7" t="str">
        <f>+'(skema1-7_2015 - 15pl)'!B17</f>
        <v>Sydvestjysk Sygehus</v>
      </c>
      <c r="C17" s="76">
        <v>1030631</v>
      </c>
      <c r="D17" s="29">
        <v>906727</v>
      </c>
      <c r="E17" s="29">
        <f t="shared" si="0"/>
        <v>1937358</v>
      </c>
      <c r="F17" s="29">
        <v>130132</v>
      </c>
      <c r="G17" s="29">
        <v>3584.0307521460345</v>
      </c>
      <c r="H17" s="29"/>
      <c r="I17" s="29">
        <f t="shared" si="2"/>
        <v>1803641.9692478538</v>
      </c>
      <c r="J17" s="52"/>
      <c r="K17" s="108"/>
      <c r="M17" s="106"/>
      <c r="N17" s="163"/>
      <c r="P17" s="106"/>
      <c r="R17" s="106"/>
    </row>
    <row r="18" spans="1:18" ht="13.5" customHeight="1" x14ac:dyDescent="0.2">
      <c r="A18" s="75">
        <f>+'(skema1-7_2015 - 15pl)'!A18</f>
        <v>6007</v>
      </c>
      <c r="B18" s="7" t="str">
        <f>+'(skema1-7_2015 - 15pl)'!B18</f>
        <v>Fredericia og Kolding sygehuse</v>
      </c>
      <c r="C18" s="76">
        <v>913607</v>
      </c>
      <c r="D18" s="29">
        <v>577561</v>
      </c>
      <c r="E18" s="29">
        <f t="shared" si="0"/>
        <v>1491168</v>
      </c>
      <c r="F18" s="29">
        <v>42813</v>
      </c>
      <c r="G18" s="29">
        <v>14401.066969887121</v>
      </c>
      <c r="H18" s="29"/>
      <c r="I18" s="29">
        <f t="shared" si="2"/>
        <v>1433953.9330301129</v>
      </c>
      <c r="J18" s="52"/>
      <c r="K18" s="108"/>
      <c r="M18" s="106"/>
      <c r="N18" s="163"/>
      <c r="P18" s="106"/>
      <c r="R18" s="106"/>
    </row>
    <row r="19" spans="1:18" ht="13.5" customHeight="1" x14ac:dyDescent="0.2">
      <c r="A19" s="75">
        <f>+'(skema1-7_2015 - 15pl)'!A19</f>
        <v>6008</v>
      </c>
      <c r="B19" s="7" t="str">
        <f>+'(skema1-7_2015 - 15pl)'!B19</f>
        <v>Vejle-Give-Middelfart sygehuse</v>
      </c>
      <c r="C19" s="76">
        <v>699983</v>
      </c>
      <c r="D19" s="29">
        <v>1256222</v>
      </c>
      <c r="E19" s="29">
        <f t="shared" si="0"/>
        <v>1956205</v>
      </c>
      <c r="F19" s="29">
        <v>343553</v>
      </c>
      <c r="G19" s="29">
        <v>8794.7948359545553</v>
      </c>
      <c r="H19" s="29"/>
      <c r="I19" s="29">
        <f t="shared" si="2"/>
        <v>1603857.2051640456</v>
      </c>
      <c r="J19" s="52"/>
      <c r="K19" s="108"/>
      <c r="M19" s="106"/>
      <c r="N19" s="163"/>
      <c r="P19" s="106"/>
      <c r="R19" s="106"/>
    </row>
    <row r="20" spans="1:18" ht="13.5" customHeight="1" x14ac:dyDescent="0.2">
      <c r="A20" s="75">
        <f>+'(skema1-7_2015 - 15pl)'!A20</f>
        <v>6013</v>
      </c>
      <c r="B20" s="7" t="str">
        <f>+'(skema1-7_2015 - 15pl)'!B20</f>
        <v>De Vestdanske Friklinikker, Give</v>
      </c>
      <c r="C20" s="76">
        <v>9839</v>
      </c>
      <c r="D20" s="29">
        <v>114213</v>
      </c>
      <c r="E20" s="29">
        <f t="shared" si="0"/>
        <v>124052</v>
      </c>
      <c r="F20" s="29">
        <v>203</v>
      </c>
      <c r="G20" s="29">
        <v>34.818438203872574</v>
      </c>
      <c r="H20" s="29"/>
      <c r="I20" s="29">
        <f t="shared" si="2"/>
        <v>123814.18156179613</v>
      </c>
      <c r="J20" s="52"/>
      <c r="K20" s="108"/>
      <c r="M20" s="106"/>
      <c r="N20" s="163"/>
      <c r="P20" s="106"/>
      <c r="R20" s="106"/>
    </row>
    <row r="21" spans="1:18" ht="13.5" customHeight="1" x14ac:dyDescent="0.2">
      <c r="A21" s="75">
        <f>+'(skema1-7_2015 - 15pl)'!A21</f>
        <v>6006</v>
      </c>
      <c r="B21" s="7" t="str">
        <f>+'(skema1-7_2015 - 15pl)'!B21</f>
        <v>Hospitalenheden Horsens</v>
      </c>
      <c r="C21" s="76">
        <v>715737</v>
      </c>
      <c r="D21" s="29">
        <v>440037</v>
      </c>
      <c r="E21" s="29">
        <f t="shared" si="0"/>
        <v>1155774</v>
      </c>
      <c r="F21" s="29">
        <v>24631</v>
      </c>
      <c r="G21" s="29">
        <v>2467.9722332941601</v>
      </c>
      <c r="H21" s="29"/>
      <c r="I21" s="29">
        <f t="shared" si="2"/>
        <v>1128675.027766706</v>
      </c>
      <c r="J21" s="52"/>
      <c r="K21" s="108"/>
      <c r="M21" s="106"/>
      <c r="N21" s="163"/>
      <c r="P21" s="106"/>
      <c r="R21" s="106"/>
    </row>
    <row r="22" spans="1:18" ht="13.5" customHeight="1" x14ac:dyDescent="0.2">
      <c r="A22" s="75">
        <f>+'(skema1-7_2015 - 15pl)'!A22</f>
        <v>6650</v>
      </c>
      <c r="B22" s="7" t="str">
        <f>+'(skema1-7_2015 - 15pl)'!B22</f>
        <v>Hospitalsenheden Vest</v>
      </c>
      <c r="C22" s="76">
        <v>1319134</v>
      </c>
      <c r="D22" s="29">
        <v>1147942</v>
      </c>
      <c r="E22" s="29">
        <f t="shared" si="0"/>
        <v>2467076</v>
      </c>
      <c r="F22" s="29">
        <v>237811</v>
      </c>
      <c r="G22" s="29">
        <v>4580.632903479971</v>
      </c>
      <c r="H22" s="29"/>
      <c r="I22" s="29">
        <f t="shared" si="2"/>
        <v>2224684.36709652</v>
      </c>
      <c r="J22" s="52"/>
      <c r="K22" s="108"/>
      <c r="M22" s="106"/>
      <c r="N22" s="163"/>
      <c r="P22" s="106"/>
      <c r="R22" s="106"/>
    </row>
    <row r="23" spans="1:18" ht="13.5" customHeight="1" x14ac:dyDescent="0.2">
      <c r="A23" s="75">
        <f>+'(skema1-7_2015 - 15pl)'!A23</f>
        <v>6620</v>
      </c>
      <c r="B23" s="7" t="str">
        <f>+'(skema1-7_2015 - 15pl)'!B23</f>
        <v>Aarhus Universitetshospital</v>
      </c>
      <c r="C23" s="76">
        <v>3890473</v>
      </c>
      <c r="D23" s="29">
        <v>2937534</v>
      </c>
      <c r="E23" s="29">
        <f t="shared" si="0"/>
        <v>6828007</v>
      </c>
      <c r="F23" s="29">
        <v>815444</v>
      </c>
      <c r="G23" s="29">
        <v>13596.82129478734</v>
      </c>
      <c r="H23" s="29"/>
      <c r="I23" s="29">
        <f t="shared" si="2"/>
        <v>5998966.1787052127</v>
      </c>
      <c r="J23" s="52"/>
      <c r="K23" s="108"/>
      <c r="M23" s="106"/>
      <c r="N23" s="163"/>
      <c r="P23" s="106"/>
      <c r="R23" s="106"/>
    </row>
    <row r="24" spans="1:18" ht="13.5" customHeight="1" x14ac:dyDescent="0.2">
      <c r="A24" s="75">
        <f>+'(skema1-7_2015 - 15pl)'!A24</f>
        <v>7005</v>
      </c>
      <c r="B24" s="7" t="str">
        <f>+'(skema1-7_2015 - 15pl)'!B24</f>
        <v>Regionshospitalet Randers</v>
      </c>
      <c r="C24" s="76">
        <v>803117</v>
      </c>
      <c r="D24" s="29">
        <v>521448</v>
      </c>
      <c r="E24" s="29">
        <f t="shared" si="0"/>
        <v>1324565</v>
      </c>
      <c r="F24" s="29">
        <v>18691</v>
      </c>
      <c r="G24" s="29">
        <v>2791.0380794683006</v>
      </c>
      <c r="H24" s="29"/>
      <c r="I24" s="29">
        <f t="shared" si="2"/>
        <v>1303082.9619205317</v>
      </c>
      <c r="J24" s="52"/>
      <c r="K24" s="108"/>
      <c r="M24" s="106"/>
      <c r="N24" s="163"/>
      <c r="P24" s="106"/>
      <c r="R24" s="106"/>
    </row>
    <row r="25" spans="1:18" ht="13.5" customHeight="1" x14ac:dyDescent="0.2">
      <c r="A25" s="75">
        <f>+'(skema1-7_2015 - 15pl)'!A25</f>
        <v>6630</v>
      </c>
      <c r="B25" s="7" t="str">
        <f>+'(skema1-7_2015 - 15pl)'!B25</f>
        <v>Hospitalsenhed Midt</v>
      </c>
      <c r="C25" s="76">
        <v>1643579</v>
      </c>
      <c r="D25" s="29">
        <v>993372</v>
      </c>
      <c r="E25" s="29">
        <f t="shared" si="0"/>
        <v>2636951</v>
      </c>
      <c r="F25" s="29">
        <v>64686</v>
      </c>
      <c r="G25" s="29">
        <v>5695.0069445816334</v>
      </c>
      <c r="H25" s="29"/>
      <c r="I25" s="29">
        <f t="shared" si="2"/>
        <v>2566569.9930554181</v>
      </c>
      <c r="J25" s="52"/>
      <c r="K25" s="108"/>
      <c r="M25" s="106"/>
      <c r="N25" s="163"/>
      <c r="P25" s="106"/>
      <c r="R25" s="106"/>
    </row>
    <row r="26" spans="1:18" ht="13.5" customHeight="1" x14ac:dyDescent="0.2">
      <c r="A26" s="75">
        <f>+'(skema1-7_2015 - 15pl)'!A26</f>
        <v>8001</v>
      </c>
      <c r="B26" s="7" t="str">
        <f>+'(skema1-7_2015 - 15pl)'!B26</f>
        <v>Aalborg Universitetshospital</v>
      </c>
      <c r="C26" s="76">
        <v>2443602</v>
      </c>
      <c r="D26" s="29">
        <v>2066124</v>
      </c>
      <c r="E26" s="29">
        <f t="shared" si="0"/>
        <v>4509726</v>
      </c>
      <c r="F26" s="29">
        <v>493310</v>
      </c>
      <c r="G26" s="29">
        <v>8499.7544080931693</v>
      </c>
      <c r="H26" s="29"/>
      <c r="I26" s="29">
        <f>E26-SUM(F26:H26)</f>
        <v>4007916.2455919068</v>
      </c>
      <c r="J26" s="52"/>
      <c r="K26" s="108"/>
      <c r="M26" s="106"/>
      <c r="N26" s="163"/>
      <c r="P26" s="106"/>
      <c r="R26" s="106"/>
    </row>
    <row r="27" spans="1:18" ht="13.5" customHeight="1" x14ac:dyDescent="0.2">
      <c r="A27" s="75">
        <f>+'(skema1-7_2015 - 15pl)'!A27</f>
        <v>8003</v>
      </c>
      <c r="B27" s="7" t="str">
        <f>+'(skema1-7_2015 - 15pl)'!B27</f>
        <v>Regionshospitalet Nordjylland</v>
      </c>
      <c r="C27" s="76">
        <v>966166</v>
      </c>
      <c r="D27" s="29">
        <v>569739</v>
      </c>
      <c r="E27" s="29">
        <f t="shared" si="0"/>
        <v>1535905</v>
      </c>
      <c r="F27" s="29">
        <v>107626</v>
      </c>
      <c r="G27" s="29">
        <v>10065.943427520921</v>
      </c>
      <c r="H27" s="29"/>
      <c r="I27" s="29">
        <f t="shared" si="2"/>
        <v>1418213.0565724792</v>
      </c>
      <c r="J27" s="52"/>
      <c r="K27" s="108"/>
      <c r="M27" s="106"/>
      <c r="N27" s="163"/>
      <c r="P27" s="106"/>
      <c r="R27" s="106"/>
    </row>
    <row r="28" spans="1:18" ht="13.5" customHeight="1" x14ac:dyDescent="0.2">
      <c r="A28" s="13"/>
      <c r="B28" s="13" t="s">
        <v>14</v>
      </c>
      <c r="C28" s="14">
        <f t="shared" ref="C28:I28" si="3">SUM(C5:C27)</f>
        <v>38306328</v>
      </c>
      <c r="D28" s="14">
        <f t="shared" si="3"/>
        <v>27483960</v>
      </c>
      <c r="E28" s="14">
        <f t="shared" si="3"/>
        <v>65790288</v>
      </c>
      <c r="F28" s="14">
        <f t="shared" si="3"/>
        <v>5448678</v>
      </c>
      <c r="G28" s="14">
        <f t="shared" si="3"/>
        <v>1.1204974725842476E-9</v>
      </c>
      <c r="H28" s="14">
        <f t="shared" si="3"/>
        <v>0</v>
      </c>
      <c r="I28" s="14">
        <f t="shared" si="3"/>
        <v>60341610.000000007</v>
      </c>
      <c r="J28" s="107"/>
      <c r="K28" s="107"/>
    </row>
    <row r="29" spans="1:18" ht="13.5" customHeight="1" x14ac:dyDescent="0.2">
      <c r="A29" s="37"/>
      <c r="B29" s="15"/>
      <c r="C29" s="16"/>
      <c r="D29" s="16"/>
      <c r="E29" s="16"/>
      <c r="F29" s="16"/>
      <c r="G29" s="16"/>
      <c r="H29" s="16"/>
      <c r="I29" s="16"/>
      <c r="J29" s="107"/>
      <c r="K29" s="107"/>
    </row>
    <row r="30" spans="1:18" ht="13.5" customHeight="1" x14ac:dyDescent="0.2">
      <c r="A30" s="37"/>
      <c r="B30" s="17" t="s">
        <v>28</v>
      </c>
      <c r="C30" s="18">
        <f t="shared" ref="C30:I30" si="4">SUM(C5:C10)</f>
        <v>14156966</v>
      </c>
      <c r="D30" s="18">
        <f t="shared" si="4"/>
        <v>8426221</v>
      </c>
      <c r="E30" s="18">
        <f t="shared" si="4"/>
        <v>22583187</v>
      </c>
      <c r="F30" s="18">
        <f t="shared" si="4"/>
        <v>1494814</v>
      </c>
      <c r="G30" s="18">
        <f t="shared" si="4"/>
        <v>71061.377019094158</v>
      </c>
      <c r="H30" s="18">
        <f t="shared" si="4"/>
        <v>0</v>
      </c>
      <c r="I30" s="6">
        <f t="shared" si="4"/>
        <v>21017311.622980908</v>
      </c>
      <c r="J30" s="107"/>
      <c r="K30" s="107"/>
    </row>
    <row r="31" spans="1:18" ht="13.5" customHeight="1" x14ac:dyDescent="0.2">
      <c r="A31" s="37"/>
      <c r="B31" s="19" t="s">
        <v>29</v>
      </c>
      <c r="C31" s="5">
        <f t="shared" ref="C31:I31" si="5">SUM(C11:C14)</f>
        <v>4992721</v>
      </c>
      <c r="D31" s="5">
        <f t="shared" si="5"/>
        <v>3407882</v>
      </c>
      <c r="E31" s="5">
        <f t="shared" si="5"/>
        <v>8400603</v>
      </c>
      <c r="F31" s="5">
        <f t="shared" si="5"/>
        <v>841445</v>
      </c>
      <c r="G31" s="5">
        <f t="shared" si="5"/>
        <v>-161924.2563441128</v>
      </c>
      <c r="H31" s="5">
        <f t="shared" si="5"/>
        <v>0</v>
      </c>
      <c r="I31" s="8">
        <f t="shared" si="5"/>
        <v>7721082.2563441126</v>
      </c>
      <c r="J31" s="107"/>
      <c r="K31" s="107"/>
    </row>
    <row r="32" spans="1:18" ht="13.5" customHeight="1" x14ac:dyDescent="0.2">
      <c r="A32" s="37"/>
      <c r="B32" s="19" t="s">
        <v>30</v>
      </c>
      <c r="C32" s="5">
        <f t="shared" ref="C32:I32" si="6">SUM(C15:C20)</f>
        <v>7374833</v>
      </c>
      <c r="D32" s="5">
        <f t="shared" si="6"/>
        <v>6973661</v>
      </c>
      <c r="E32" s="5">
        <f t="shared" si="6"/>
        <v>14348494</v>
      </c>
      <c r="F32" s="5">
        <f t="shared" si="6"/>
        <v>1350220</v>
      </c>
      <c r="G32" s="5">
        <f t="shared" si="6"/>
        <v>43165.710033794268</v>
      </c>
      <c r="H32" s="5">
        <f t="shared" si="6"/>
        <v>0</v>
      </c>
      <c r="I32" s="8">
        <f t="shared" si="6"/>
        <v>12955108.289966205</v>
      </c>
      <c r="J32" s="107"/>
      <c r="K32" s="107"/>
    </row>
    <row r="33" spans="1:11" ht="13.5" customHeight="1" x14ac:dyDescent="0.2">
      <c r="A33" s="37"/>
      <c r="B33" s="19" t="s">
        <v>31</v>
      </c>
      <c r="C33" s="5">
        <f t="shared" ref="C33:I33" si="7">SUM(C21:C25)</f>
        <v>8372040</v>
      </c>
      <c r="D33" s="5">
        <f t="shared" si="7"/>
        <v>6040333</v>
      </c>
      <c r="E33" s="5">
        <f t="shared" si="7"/>
        <v>14412373</v>
      </c>
      <c r="F33" s="5">
        <f t="shared" si="7"/>
        <v>1161263</v>
      </c>
      <c r="G33" s="5">
        <f t="shared" si="7"/>
        <v>29131.471455611405</v>
      </c>
      <c r="H33" s="5">
        <f t="shared" si="7"/>
        <v>0</v>
      </c>
      <c r="I33" s="8">
        <f t="shared" si="7"/>
        <v>13221978.528544389</v>
      </c>
      <c r="J33" s="107"/>
      <c r="K33" s="107"/>
    </row>
    <row r="34" spans="1:11" ht="13.5" customHeight="1" x14ac:dyDescent="0.2">
      <c r="A34" s="38"/>
      <c r="B34" s="20" t="s">
        <v>32</v>
      </c>
      <c r="C34" s="10">
        <f t="shared" ref="C34:I34" si="8">+SUM(C26:C27)</f>
        <v>3409768</v>
      </c>
      <c r="D34" s="10">
        <f t="shared" si="8"/>
        <v>2635863</v>
      </c>
      <c r="E34" s="10">
        <f t="shared" si="8"/>
        <v>6045631</v>
      </c>
      <c r="F34" s="10">
        <f t="shared" si="8"/>
        <v>600936</v>
      </c>
      <c r="G34" s="10">
        <f t="shared" si="8"/>
        <v>18565.69783561409</v>
      </c>
      <c r="H34" s="10">
        <f t="shared" si="8"/>
        <v>0</v>
      </c>
      <c r="I34" s="21">
        <f t="shared" si="8"/>
        <v>5426129.302164386</v>
      </c>
      <c r="J34" s="107"/>
      <c r="K34" s="107"/>
    </row>
    <row r="35" spans="1:11" ht="13.5" customHeight="1" x14ac:dyDescent="0.2">
      <c r="A35" s="38"/>
      <c r="B35" s="13" t="s">
        <v>14</v>
      </c>
      <c r="C35" s="22">
        <f>SUM(C30:C34)</f>
        <v>38306328</v>
      </c>
      <c r="D35" s="94">
        <f>SUM(D30:D34)</f>
        <v>27483960</v>
      </c>
      <c r="E35" s="22">
        <f>SUM(E30:E34)</f>
        <v>65790288</v>
      </c>
      <c r="F35" s="22">
        <f>SUM(F30:F34)</f>
        <v>5448678</v>
      </c>
      <c r="G35" s="22">
        <v>0</v>
      </c>
      <c r="H35" s="22">
        <f>SUM(H30:H34)</f>
        <v>0</v>
      </c>
      <c r="I35" s="23">
        <f>SUM(I30:I34)</f>
        <v>60341610</v>
      </c>
      <c r="J35" s="107"/>
      <c r="K35" s="107"/>
    </row>
    <row r="36" spans="1:11" ht="13.5" customHeight="1" x14ac:dyDescent="0.2">
      <c r="J36" s="107"/>
    </row>
    <row r="37" spans="1:11" ht="13.5" customHeight="1" x14ac:dyDescent="0.2">
      <c r="J37" s="107"/>
    </row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6" orientation="landscape" cellComments="asDisplayed" horizontalDpi="300" verticalDpi="300" r:id="rId1"/>
  <headerFooter alignWithMargins="0">
    <oddHeader>&amp;CSide &amp;P / &amp;N</oddHeader>
  </headerFooter>
  <ignoredErrors>
    <ignoredError sqref="C35:H35 C30:I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11</vt:i4>
      </vt:variant>
    </vt:vector>
  </HeadingPairs>
  <TitlesOfParts>
    <vt:vector size="26" baseType="lpstr">
      <vt:lpstr>(skema1-7_2015 - 15pl)</vt:lpstr>
      <vt:lpstr>Skema1-7_2015</vt:lpstr>
      <vt:lpstr>Skema1-7_2016</vt:lpstr>
      <vt:lpstr>Skema1-7_forskel</vt:lpstr>
      <vt:lpstr>DTD_15</vt:lpstr>
      <vt:lpstr>DTD_16</vt:lpstr>
      <vt:lpstr>DTD_forskel</vt:lpstr>
      <vt:lpstr>DRG_15</vt:lpstr>
      <vt:lpstr>DRG_16</vt:lpstr>
      <vt:lpstr>DRG_forskel</vt:lpstr>
      <vt:lpstr>produktivitet</vt:lpstr>
      <vt:lpstr>Dokumentation</vt:lpstr>
      <vt:lpstr>Medicin produktionssiden 2015</vt:lpstr>
      <vt:lpstr>Medicin produktionssiden 2016</vt:lpstr>
      <vt:lpstr>Regionsspecifikke korrektioner</vt:lpstr>
      <vt:lpstr>DRG_15!Print_Area</vt:lpstr>
      <vt:lpstr>DRG_16!Print_Area</vt:lpstr>
      <vt:lpstr>DRG_forskel!Print_Area</vt:lpstr>
      <vt:lpstr>DTD_15!Print_Area</vt:lpstr>
      <vt:lpstr>DTD_16!Print_Area</vt:lpstr>
      <vt:lpstr>DTD_forskel!Print_Area</vt:lpstr>
      <vt:lpstr>produktivitet!Print_Area</vt:lpstr>
      <vt:lpstr>'Skema1-7_2015'!Print_Area</vt:lpstr>
      <vt:lpstr>'Skema1-7_2016'!Print_Area</vt:lpstr>
      <vt:lpstr>'Skema1-7_forskel'!Print_Area</vt:lpstr>
      <vt:lpstr>produktivitet!SAM_07</vt:lpstr>
    </vt:vector>
  </TitlesOfParts>
  <Company>Indenrigs- og Sundhedsministeriet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raaj</dc:creator>
  <cp:lastModifiedBy>Anders Rud Svenning</cp:lastModifiedBy>
  <cp:lastPrinted>2018-01-25T14:49:17Z</cp:lastPrinted>
  <dcterms:created xsi:type="dcterms:W3CDTF">2008-06-30T12:44:49Z</dcterms:created>
  <dcterms:modified xsi:type="dcterms:W3CDTF">2018-01-25T15:58:03Z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C:\DOCUME~1\sumraaj\LOKALE~1\Temp\SJ20100421115435633 (DOK195446).XLSX</vt:lpwstr>
  </property>
  <property fmtid="{D5CDD505-2E9C-101B-9397-08002B2CF9AE}" pid="3" name="title">
    <vt:lpwstr>Produktivitet - endelig opgørelse - DATA OPDATERES HER! (DOC 1)</vt:lpwstr>
  </property>
  <property fmtid="{D5CDD505-2E9C-101B-9397-08002B2CF9AE}" pid="4" name="command">
    <vt:lpwstr/>
  </property>
</Properties>
</file>