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195" windowWidth="14430" windowHeight="14925" tabRatio="686" activeTab="9"/>
  </bookViews>
  <sheets>
    <sheet name="Skema1-7_2008" sheetId="23" r:id="rId1"/>
    <sheet name="Skema1-7_2009" sheetId="24" r:id="rId2"/>
    <sheet name="Skema1-7_forskel" sheetId="29" r:id="rId3"/>
    <sheet name="DTD_08" sheetId="5" r:id="rId4"/>
    <sheet name="DTD_09" sheetId="25" r:id="rId5"/>
    <sheet name="DTD_forskel" sheetId="30" r:id="rId6"/>
    <sheet name="DRG_08" sheetId="26" r:id="rId7"/>
    <sheet name="DRG_09" sheetId="27" r:id="rId8"/>
    <sheet name="DRG_forskel" sheetId="31" r:id="rId9"/>
    <sheet name="produktivitet" sheetId="7" r:id="rId10"/>
  </sheets>
  <definedNames>
    <definedName name="Print_Area" localSheetId="6">DRG_08!$A$1:$H$37</definedName>
    <definedName name="Print_Area" localSheetId="7">DRG_09!$A$1:$I$37</definedName>
    <definedName name="Print_Area" localSheetId="8">DRG_forskel!$A$1:$H$37</definedName>
    <definedName name="Print_Area" localSheetId="3">DTD_08!$A$1:$G$37</definedName>
    <definedName name="Print_Area" localSheetId="4">DTD_09!$A$1:$G$37</definedName>
    <definedName name="Print_Area" localSheetId="5">DTD_forskel!$A$1:$G$37</definedName>
    <definedName name="Print_Area" localSheetId="9">produktivitet!$A$1:$J$38</definedName>
    <definedName name="Print_Area" localSheetId="0">'Skema1-7_2008'!$A$1:$J$37</definedName>
    <definedName name="Print_Area" localSheetId="1">'Skema1-7_2009'!$A$1:$J$37</definedName>
    <definedName name="Print_Area" localSheetId="2">'Skema1-7_forskel'!$A$1:$J$37</definedName>
    <definedName name="SAM_06" localSheetId="6">DRG_08!#REF!</definedName>
    <definedName name="SAM_06" localSheetId="7">DRG_09!#REF!</definedName>
    <definedName name="SAM_06" localSheetId="8">DRG_forskel!#REF!</definedName>
    <definedName name="SAM_07" localSheetId="9">produktivitet!$A$5:$B$38</definedName>
  </definedNames>
  <calcPr calcId="125725"/>
</workbook>
</file>

<file path=xl/calcChain.xml><?xml version="1.0" encoding="utf-8"?>
<calcChain xmlns="http://schemas.openxmlformats.org/spreadsheetml/2006/main">
  <c r="K43" i="27"/>
  <c r="D36" l="1"/>
  <c r="D34"/>
  <c r="D33"/>
  <c r="D33" i="26"/>
  <c r="D34"/>
  <c r="D36"/>
  <c r="M31" i="24" l="1"/>
  <c r="M30"/>
  <c r="M29"/>
  <c r="M28"/>
  <c r="M27"/>
  <c r="M26"/>
  <c r="M25"/>
  <c r="M24"/>
  <c r="D36"/>
  <c r="D35"/>
  <c r="D34"/>
  <c r="D33"/>
  <c r="E31"/>
  <c r="E30"/>
  <c r="E29"/>
  <c r="E28"/>
  <c r="E27"/>
  <c r="E26"/>
  <c r="E25"/>
  <c r="E24"/>
  <c r="D31"/>
  <c r="D30"/>
  <c r="D29"/>
  <c r="D28"/>
  <c r="D27"/>
  <c r="D26"/>
  <c r="D25"/>
  <c r="D24"/>
  <c r="D23"/>
  <c r="D22"/>
  <c r="D21"/>
  <c r="D20"/>
  <c r="D19"/>
  <c r="D18"/>
  <c r="D17"/>
  <c r="I13"/>
  <c r="I12"/>
  <c r="I11"/>
  <c r="I10"/>
  <c r="I9"/>
  <c r="I8"/>
  <c r="I7"/>
  <c r="I6"/>
  <c r="I5"/>
  <c r="H11"/>
  <c r="H9"/>
  <c r="H7"/>
  <c r="D14"/>
  <c r="D13"/>
  <c r="D12"/>
  <c r="D11"/>
  <c r="D10"/>
  <c r="D9"/>
  <c r="D8"/>
  <c r="D7"/>
  <c r="D6"/>
  <c r="D5"/>
  <c r="S39" l="1"/>
  <c r="R39"/>
  <c r="Q39"/>
  <c r="P42"/>
  <c r="O18"/>
  <c r="O19"/>
  <c r="O20"/>
  <c r="O21"/>
  <c r="O22"/>
  <c r="O23"/>
  <c r="O17"/>
  <c r="N32"/>
  <c r="D32" s="1"/>
  <c r="N36"/>
  <c r="N35"/>
  <c r="N34"/>
  <c r="N33"/>
  <c r="E31" i="23"/>
  <c r="E30"/>
  <c r="E29"/>
  <c r="E28"/>
  <c r="E27"/>
  <c r="E26"/>
  <c r="E25"/>
  <c r="E24"/>
  <c r="P39"/>
  <c r="O42"/>
  <c r="N41"/>
  <c r="D41"/>
  <c r="M41"/>
  <c r="D23"/>
  <c r="D22"/>
  <c r="D21"/>
  <c r="D20"/>
  <c r="D19"/>
  <c r="D18"/>
  <c r="D17"/>
  <c r="D14"/>
  <c r="D13"/>
  <c r="D12"/>
  <c r="D11"/>
  <c r="D10"/>
  <c r="D9"/>
  <c r="D8"/>
  <c r="D7"/>
  <c r="D6"/>
  <c r="D5"/>
  <c r="N23"/>
  <c r="N22"/>
  <c r="N21"/>
  <c r="N20"/>
  <c r="N19"/>
  <c r="N18"/>
  <c r="N17"/>
  <c r="J36" i="24" l="1"/>
  <c r="J35"/>
  <c r="J34"/>
  <c r="J33"/>
  <c r="J32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G36" i="31"/>
  <c r="F36"/>
  <c r="D36"/>
  <c r="C36"/>
  <c r="G35"/>
  <c r="F35"/>
  <c r="D35"/>
  <c r="C35"/>
  <c r="G34"/>
  <c r="F34"/>
  <c r="D34"/>
  <c r="C34"/>
  <c r="G33"/>
  <c r="F33"/>
  <c r="D33"/>
  <c r="C33"/>
  <c r="G32"/>
  <c r="F32"/>
  <c r="D32"/>
  <c r="C32"/>
  <c r="G31"/>
  <c r="F31"/>
  <c r="D31"/>
  <c r="C31"/>
  <c r="G30"/>
  <c r="F30"/>
  <c r="D30"/>
  <c r="C30"/>
  <c r="G29"/>
  <c r="F29"/>
  <c r="D29"/>
  <c r="C29"/>
  <c r="G28"/>
  <c r="F28"/>
  <c r="D28"/>
  <c r="C28"/>
  <c r="G27"/>
  <c r="F27"/>
  <c r="D27"/>
  <c r="C27"/>
  <c r="G26"/>
  <c r="F26"/>
  <c r="D26"/>
  <c r="C26"/>
  <c r="G25"/>
  <c r="F25"/>
  <c r="D25"/>
  <c r="C25"/>
  <c r="G24"/>
  <c r="F24"/>
  <c r="D24"/>
  <c r="C24"/>
  <c r="G23"/>
  <c r="F23"/>
  <c r="D23"/>
  <c r="C23"/>
  <c r="G22"/>
  <c r="F22"/>
  <c r="D22"/>
  <c r="C22"/>
  <c r="G21"/>
  <c r="F21"/>
  <c r="D21"/>
  <c r="C21"/>
  <c r="G20"/>
  <c r="F20"/>
  <c r="D20"/>
  <c r="C20"/>
  <c r="G19"/>
  <c r="F19"/>
  <c r="D19"/>
  <c r="C19"/>
  <c r="G18"/>
  <c r="F18"/>
  <c r="D18"/>
  <c r="C18"/>
  <c r="G17"/>
  <c r="F17"/>
  <c r="D17"/>
  <c r="C17"/>
  <c r="G16"/>
  <c r="F16"/>
  <c r="D16"/>
  <c r="C16"/>
  <c r="G15"/>
  <c r="F15"/>
  <c r="D15"/>
  <c r="C15"/>
  <c r="G14"/>
  <c r="F14"/>
  <c r="D14"/>
  <c r="C14"/>
  <c r="G13"/>
  <c r="F13"/>
  <c r="D13"/>
  <c r="C13"/>
  <c r="G12"/>
  <c r="F12"/>
  <c r="D12"/>
  <c r="C12"/>
  <c r="G11"/>
  <c r="F11"/>
  <c r="D11"/>
  <c r="C11"/>
  <c r="G10"/>
  <c r="F10"/>
  <c r="D10"/>
  <c r="C10"/>
  <c r="G9"/>
  <c r="F9"/>
  <c r="D9"/>
  <c r="C9"/>
  <c r="G8"/>
  <c r="F8"/>
  <c r="D8"/>
  <c r="C8"/>
  <c r="G7"/>
  <c r="F7"/>
  <c r="D7"/>
  <c r="C7"/>
  <c r="G6"/>
  <c r="F6"/>
  <c r="D6"/>
  <c r="C6"/>
  <c r="G5"/>
  <c r="F5"/>
  <c r="D5"/>
  <c r="C5"/>
  <c r="A1"/>
  <c r="F36" i="30"/>
  <c r="D36"/>
  <c r="F35"/>
  <c r="D35"/>
  <c r="F34"/>
  <c r="D34"/>
  <c r="F33"/>
  <c r="D33"/>
  <c r="F32"/>
  <c r="D32"/>
  <c r="F31"/>
  <c r="D31"/>
  <c r="F30"/>
  <c r="D30"/>
  <c r="F29"/>
  <c r="D29"/>
  <c r="F28"/>
  <c r="D28"/>
  <c r="F27"/>
  <c r="D27"/>
  <c r="F26"/>
  <c r="D26"/>
  <c r="F25"/>
  <c r="D25"/>
  <c r="F24"/>
  <c r="D24"/>
  <c r="F23"/>
  <c r="D23"/>
  <c r="F22"/>
  <c r="D22"/>
  <c r="F21"/>
  <c r="D21"/>
  <c r="F20"/>
  <c r="D20"/>
  <c r="F19"/>
  <c r="D19"/>
  <c r="F18"/>
  <c r="D18"/>
  <c r="F17"/>
  <c r="D17"/>
  <c r="F16"/>
  <c r="D16"/>
  <c r="F15"/>
  <c r="D15"/>
  <c r="F14"/>
  <c r="D14"/>
  <c r="F13"/>
  <c r="D13"/>
  <c r="D12"/>
  <c r="F11"/>
  <c r="D11"/>
  <c r="F10"/>
  <c r="D10"/>
  <c r="F9"/>
  <c r="D9"/>
  <c r="F8"/>
  <c r="D8"/>
  <c r="F7"/>
  <c r="D7"/>
  <c r="F6"/>
  <c r="D6"/>
  <c r="F5"/>
  <c r="D5"/>
  <c r="C5" i="29"/>
  <c r="A1" i="30"/>
  <c r="I36" i="29"/>
  <c r="H36"/>
  <c r="G36"/>
  <c r="F36"/>
  <c r="E36"/>
  <c r="D36"/>
  <c r="C36"/>
  <c r="I35"/>
  <c r="H35"/>
  <c r="G35"/>
  <c r="F35"/>
  <c r="E35"/>
  <c r="D35"/>
  <c r="C35"/>
  <c r="I34"/>
  <c r="H34"/>
  <c r="G34"/>
  <c r="F34"/>
  <c r="E34"/>
  <c r="D34"/>
  <c r="C34"/>
  <c r="I33"/>
  <c r="H33"/>
  <c r="G33"/>
  <c r="F33"/>
  <c r="E33"/>
  <c r="D33"/>
  <c r="C33"/>
  <c r="I32"/>
  <c r="H32"/>
  <c r="G32"/>
  <c r="F32"/>
  <c r="E32"/>
  <c r="D32"/>
  <c r="C32"/>
  <c r="I31"/>
  <c r="H31"/>
  <c r="G31"/>
  <c r="F31"/>
  <c r="E31"/>
  <c r="C31"/>
  <c r="I30"/>
  <c r="H30"/>
  <c r="G30"/>
  <c r="F30"/>
  <c r="E30"/>
  <c r="C30"/>
  <c r="I29"/>
  <c r="H29"/>
  <c r="G29"/>
  <c r="F29"/>
  <c r="E29"/>
  <c r="C29"/>
  <c r="I28"/>
  <c r="H28"/>
  <c r="G28"/>
  <c r="F28"/>
  <c r="E28"/>
  <c r="C28"/>
  <c r="I27"/>
  <c r="H27"/>
  <c r="G27"/>
  <c r="F27"/>
  <c r="E27"/>
  <c r="C27"/>
  <c r="I26"/>
  <c r="H26"/>
  <c r="G26"/>
  <c r="F26"/>
  <c r="E26"/>
  <c r="C26"/>
  <c r="I25"/>
  <c r="H25"/>
  <c r="G25"/>
  <c r="F25"/>
  <c r="E25"/>
  <c r="C25"/>
  <c r="I24"/>
  <c r="H24"/>
  <c r="G24"/>
  <c r="F24"/>
  <c r="E24"/>
  <c r="C24"/>
  <c r="I23"/>
  <c r="H23"/>
  <c r="G23"/>
  <c r="F23"/>
  <c r="E23"/>
  <c r="D23"/>
  <c r="C23"/>
  <c r="I22"/>
  <c r="H22"/>
  <c r="G22"/>
  <c r="F22"/>
  <c r="E22"/>
  <c r="D22"/>
  <c r="C22"/>
  <c r="I21"/>
  <c r="H21"/>
  <c r="G21"/>
  <c r="F21"/>
  <c r="E21"/>
  <c r="D21"/>
  <c r="C21"/>
  <c r="I20"/>
  <c r="H20"/>
  <c r="G20"/>
  <c r="F20"/>
  <c r="E20"/>
  <c r="D20"/>
  <c r="C20"/>
  <c r="I19"/>
  <c r="H19"/>
  <c r="G19"/>
  <c r="F19"/>
  <c r="E19"/>
  <c r="D19"/>
  <c r="C19"/>
  <c r="I18"/>
  <c r="H18"/>
  <c r="G18"/>
  <c r="F18"/>
  <c r="E18"/>
  <c r="D18"/>
  <c r="C18"/>
  <c r="I17"/>
  <c r="H17"/>
  <c r="G17"/>
  <c r="F17"/>
  <c r="E17"/>
  <c r="D17"/>
  <c r="C17"/>
  <c r="I16"/>
  <c r="H16"/>
  <c r="G16"/>
  <c r="F16"/>
  <c r="E16"/>
  <c r="D16"/>
  <c r="C16"/>
  <c r="I15"/>
  <c r="H15"/>
  <c r="G15"/>
  <c r="F15"/>
  <c r="E15"/>
  <c r="D15"/>
  <c r="C15"/>
  <c r="I14"/>
  <c r="H14"/>
  <c r="G14"/>
  <c r="F14"/>
  <c r="E14"/>
  <c r="D14"/>
  <c r="C14"/>
  <c r="I13"/>
  <c r="H13"/>
  <c r="G13"/>
  <c r="F13"/>
  <c r="E13"/>
  <c r="D13"/>
  <c r="C13"/>
  <c r="I12"/>
  <c r="H12"/>
  <c r="G12"/>
  <c r="F12"/>
  <c r="E12"/>
  <c r="D12"/>
  <c r="C12"/>
  <c r="I11"/>
  <c r="H11"/>
  <c r="G11"/>
  <c r="F11"/>
  <c r="E11"/>
  <c r="D11"/>
  <c r="C11"/>
  <c r="I10"/>
  <c r="H10"/>
  <c r="G10"/>
  <c r="F10"/>
  <c r="E10"/>
  <c r="D10"/>
  <c r="C10"/>
  <c r="I9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H6"/>
  <c r="G6"/>
  <c r="F6"/>
  <c r="E6"/>
  <c r="D6"/>
  <c r="C6"/>
  <c r="I5"/>
  <c r="H5"/>
  <c r="G5"/>
  <c r="F5"/>
  <c r="E5"/>
  <c r="D5"/>
  <c r="A1"/>
  <c r="C42" i="24"/>
  <c r="C41"/>
  <c r="C42" i="23"/>
  <c r="A1" i="7"/>
  <c r="A1" i="27"/>
  <c r="A1" i="26"/>
  <c r="A1" i="25"/>
  <c r="A1" i="5"/>
  <c r="A1" i="24"/>
  <c r="I36" i="27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C42" i="29"/>
  <c r="H43" i="27"/>
  <c r="H42"/>
  <c r="H41"/>
  <c r="H40"/>
  <c r="H39"/>
  <c r="H37"/>
  <c r="G43"/>
  <c r="F43"/>
  <c r="D43"/>
  <c r="C43"/>
  <c r="G42"/>
  <c r="F42"/>
  <c r="D42"/>
  <c r="C42"/>
  <c r="G41"/>
  <c r="F41"/>
  <c r="D41"/>
  <c r="C41"/>
  <c r="G40"/>
  <c r="F40"/>
  <c r="D40"/>
  <c r="C40"/>
  <c r="G39"/>
  <c r="G44" s="1"/>
  <c r="F39"/>
  <c r="D39"/>
  <c r="C39"/>
  <c r="G37"/>
  <c r="F37"/>
  <c r="D37"/>
  <c r="C37"/>
  <c r="D37" i="7"/>
  <c r="E36" i="27"/>
  <c r="D36" i="7"/>
  <c r="E35" i="27"/>
  <c r="D35" i="7"/>
  <c r="E34" i="27"/>
  <c r="D34" i="7"/>
  <c r="E33" i="27"/>
  <c r="I43"/>
  <c r="E32"/>
  <c r="D32" i="7"/>
  <c r="E31" i="27"/>
  <c r="D31" i="7"/>
  <c r="E30" i="27"/>
  <c r="D30" i="7"/>
  <c r="E29" i="27"/>
  <c r="D29" i="7"/>
  <c r="E28" i="27"/>
  <c r="D28" i="7"/>
  <c r="E27" i="27"/>
  <c r="D27" i="7"/>
  <c r="E26" i="27"/>
  <c r="D26" i="7"/>
  <c r="E25" i="27"/>
  <c r="I42"/>
  <c r="E24"/>
  <c r="D24" i="7"/>
  <c r="E23" i="27"/>
  <c r="D23" i="7"/>
  <c r="E22" i="27"/>
  <c r="D22" i="7"/>
  <c r="E21" i="27"/>
  <c r="D21" i="7"/>
  <c r="E20" i="27"/>
  <c r="D20" i="7"/>
  <c r="E19" i="27"/>
  <c r="D19" i="7"/>
  <c r="E18" i="27"/>
  <c r="I41"/>
  <c r="E17"/>
  <c r="D17" i="7"/>
  <c r="E16" i="27"/>
  <c r="I40"/>
  <c r="E15"/>
  <c r="D15" i="7"/>
  <c r="E14" i="27"/>
  <c r="D14" i="7"/>
  <c r="E13" i="27"/>
  <c r="D13" i="7"/>
  <c r="E12" i="27"/>
  <c r="D12" i="7"/>
  <c r="E11" i="27"/>
  <c r="D11" i="7"/>
  <c r="E10" i="27"/>
  <c r="D10" i="7"/>
  <c r="E9" i="27"/>
  <c r="D9" i="7"/>
  <c r="E8" i="27"/>
  <c r="D8" i="7"/>
  <c r="E7" i="27"/>
  <c r="D7" i="7"/>
  <c r="E6" i="27"/>
  <c r="I39"/>
  <c r="E5"/>
  <c r="G43" i="26"/>
  <c r="G43" i="31" s="1"/>
  <c r="F43" i="26"/>
  <c r="D43"/>
  <c r="C43"/>
  <c r="G42"/>
  <c r="G42" i="31" s="1"/>
  <c r="F42" i="26"/>
  <c r="D42"/>
  <c r="C42"/>
  <c r="G41"/>
  <c r="G41" i="31" s="1"/>
  <c r="F41" i="26"/>
  <c r="D41"/>
  <c r="C41"/>
  <c r="G40"/>
  <c r="G40" i="31" s="1"/>
  <c r="F40" i="26"/>
  <c r="D40"/>
  <c r="C40"/>
  <c r="G39"/>
  <c r="F39"/>
  <c r="F44" s="1"/>
  <c r="D39"/>
  <c r="D44" s="1"/>
  <c r="C39"/>
  <c r="C44" s="1"/>
  <c r="G37"/>
  <c r="G37" i="31" s="1"/>
  <c r="F37" i="26"/>
  <c r="D37"/>
  <c r="C37"/>
  <c r="H36"/>
  <c r="C37" i="7" s="1"/>
  <c r="G37" s="1"/>
  <c r="E36" i="26"/>
  <c r="H35"/>
  <c r="C36" i="7" s="1"/>
  <c r="E35" i="26"/>
  <c r="H34"/>
  <c r="C35" i="7" s="1"/>
  <c r="E34" i="26"/>
  <c r="H33"/>
  <c r="C34" i="7" s="1"/>
  <c r="E33" i="26"/>
  <c r="H32"/>
  <c r="H32" i="31" s="1"/>
  <c r="E32" i="26"/>
  <c r="H31"/>
  <c r="C32" i="7" s="1"/>
  <c r="E31" i="26"/>
  <c r="H30"/>
  <c r="C31" i="7" s="1"/>
  <c r="E30" i="26"/>
  <c r="H29"/>
  <c r="C30" i="7" s="1"/>
  <c r="G30" s="1"/>
  <c r="E29" i="26"/>
  <c r="H28"/>
  <c r="C29" i="7" s="1"/>
  <c r="E28" i="26"/>
  <c r="H27"/>
  <c r="C28" i="7" s="1"/>
  <c r="E27" i="26"/>
  <c r="H26"/>
  <c r="C27" i="7" s="1"/>
  <c r="E26" i="26"/>
  <c r="H25"/>
  <c r="C26" i="7" s="1"/>
  <c r="E25" i="26"/>
  <c r="H24"/>
  <c r="E24"/>
  <c r="H23"/>
  <c r="C24" i="7" s="1"/>
  <c r="E23" i="26"/>
  <c r="H22"/>
  <c r="C23" i="7" s="1"/>
  <c r="E22" i="26"/>
  <c r="H21"/>
  <c r="C22" i="7" s="1"/>
  <c r="E21" i="26"/>
  <c r="H20"/>
  <c r="C21" i="7" s="1"/>
  <c r="E20" i="26"/>
  <c r="H19"/>
  <c r="C20" i="7" s="1"/>
  <c r="E19" i="26"/>
  <c r="H18"/>
  <c r="C19" i="7" s="1"/>
  <c r="E18" i="26"/>
  <c r="H17"/>
  <c r="E17"/>
  <c r="H16"/>
  <c r="C17" i="7" s="1"/>
  <c r="E16" i="26"/>
  <c r="H15"/>
  <c r="H40" s="1"/>
  <c r="H40" i="31" s="1"/>
  <c r="E15" i="26"/>
  <c r="E40" s="1"/>
  <c r="H14"/>
  <c r="C15" i="7" s="1"/>
  <c r="E14" i="26"/>
  <c r="H13"/>
  <c r="C14" i="7" s="1"/>
  <c r="E13" i="26"/>
  <c r="E13" i="31" s="1"/>
  <c r="H12" i="26"/>
  <c r="C13" i="7" s="1"/>
  <c r="E12" i="26"/>
  <c r="H11"/>
  <c r="C12" i="7" s="1"/>
  <c r="E11" i="26"/>
  <c r="E11" i="31" s="1"/>
  <c r="H10" i="26"/>
  <c r="C11" i="7" s="1"/>
  <c r="E10" i="26"/>
  <c r="H9"/>
  <c r="C10" i="7" s="1"/>
  <c r="E9" i="26"/>
  <c r="H8"/>
  <c r="C9" i="7" s="1"/>
  <c r="E8" i="26"/>
  <c r="E8" i="31" s="1"/>
  <c r="H7" i="26"/>
  <c r="C8" i="7" s="1"/>
  <c r="E7" i="26"/>
  <c r="H6"/>
  <c r="C7" i="7" s="1"/>
  <c r="E6" i="26"/>
  <c r="H5"/>
  <c r="H5" i="31" s="1"/>
  <c r="E5" i="26"/>
  <c r="E37"/>
  <c r="H44" i="27"/>
  <c r="G44" i="26"/>
  <c r="G39" i="31"/>
  <c r="F37"/>
  <c r="F40"/>
  <c r="F41"/>
  <c r="F42"/>
  <c r="F43"/>
  <c r="E10"/>
  <c r="E12"/>
  <c r="E14"/>
  <c r="E16"/>
  <c r="E18"/>
  <c r="E19"/>
  <c r="E20"/>
  <c r="E21"/>
  <c r="E22"/>
  <c r="E23"/>
  <c r="E25"/>
  <c r="E26"/>
  <c r="E27"/>
  <c r="E28"/>
  <c r="E29"/>
  <c r="E30"/>
  <c r="E31"/>
  <c r="E33"/>
  <c r="E34"/>
  <c r="E35"/>
  <c r="E36"/>
  <c r="C40"/>
  <c r="C41"/>
  <c r="C42"/>
  <c r="C43"/>
  <c r="H34"/>
  <c r="H30"/>
  <c r="H26"/>
  <c r="H22"/>
  <c r="H18"/>
  <c r="H10"/>
  <c r="H33"/>
  <c r="H29"/>
  <c r="H25"/>
  <c r="H21"/>
  <c r="H17"/>
  <c r="H9"/>
  <c r="D37"/>
  <c r="D40"/>
  <c r="D41"/>
  <c r="D42"/>
  <c r="D43"/>
  <c r="H36"/>
  <c r="H28"/>
  <c r="H24"/>
  <c r="H20"/>
  <c r="H16"/>
  <c r="H12"/>
  <c r="H8"/>
  <c r="H35"/>
  <c r="H31"/>
  <c r="H27"/>
  <c r="H23"/>
  <c r="H19"/>
  <c r="H15"/>
  <c r="H11"/>
  <c r="H7"/>
  <c r="F44" i="27"/>
  <c r="F39" i="31"/>
  <c r="E39" i="27"/>
  <c r="E5" i="31"/>
  <c r="E40" i="27"/>
  <c r="E15" i="31"/>
  <c r="E41" i="27"/>
  <c r="E17" i="31"/>
  <c r="E42" i="27"/>
  <c r="E24" i="31"/>
  <c r="E43" i="27"/>
  <c r="E44" s="1"/>
  <c r="E32" i="31"/>
  <c r="E37" i="27"/>
  <c r="E37" i="31" s="1"/>
  <c r="C37"/>
  <c r="C44" i="27"/>
  <c r="C39" i="31"/>
  <c r="I44" i="27"/>
  <c r="D44"/>
  <c r="D39" i="31"/>
  <c r="D6" i="7"/>
  <c r="D16"/>
  <c r="D43" s="1"/>
  <c r="D18"/>
  <c r="D25"/>
  <c r="D45" s="1"/>
  <c r="D33"/>
  <c r="H43" i="26"/>
  <c r="C6" i="7"/>
  <c r="G6" s="1"/>
  <c r="C16"/>
  <c r="C18"/>
  <c r="G18" s="1"/>
  <c r="C25"/>
  <c r="C33"/>
  <c r="G33" s="1"/>
  <c r="I37" i="27"/>
  <c r="D38" i="7" s="1"/>
  <c r="H37" i="26"/>
  <c r="C38" i="7" s="1"/>
  <c r="H43" i="31"/>
  <c r="D44" i="7"/>
  <c r="C36" i="25"/>
  <c r="C35"/>
  <c r="C34"/>
  <c r="C33"/>
  <c r="C32"/>
  <c r="C23"/>
  <c r="C22"/>
  <c r="C21"/>
  <c r="C20"/>
  <c r="C19"/>
  <c r="C18"/>
  <c r="C41" s="1"/>
  <c r="C17"/>
  <c r="C16"/>
  <c r="C40" s="1"/>
  <c r="C15"/>
  <c r="C14"/>
  <c r="E14" s="1"/>
  <c r="C13"/>
  <c r="C12"/>
  <c r="E12" s="1"/>
  <c r="C11"/>
  <c r="C10"/>
  <c r="E10" s="1"/>
  <c r="C9"/>
  <c r="C8"/>
  <c r="E8" s="1"/>
  <c r="C7"/>
  <c r="C6"/>
  <c r="C39" s="1"/>
  <c r="C5"/>
  <c r="F43"/>
  <c r="D43"/>
  <c r="F42"/>
  <c r="D42"/>
  <c r="F41"/>
  <c r="D41"/>
  <c r="F40"/>
  <c r="D40"/>
  <c r="D39"/>
  <c r="D37"/>
  <c r="E36"/>
  <c r="G36" s="1"/>
  <c r="F37" i="7" s="1"/>
  <c r="E35" i="25"/>
  <c r="E34"/>
  <c r="G34" s="1"/>
  <c r="F35" i="7" s="1"/>
  <c r="E33" i="25"/>
  <c r="C43"/>
  <c r="E23"/>
  <c r="G23" s="1"/>
  <c r="F24" i="7" s="1"/>
  <c r="E22" i="25"/>
  <c r="G22" s="1"/>
  <c r="F23" i="7" s="1"/>
  <c r="E21" i="25"/>
  <c r="G21" s="1"/>
  <c r="F22" i="7" s="1"/>
  <c r="E20" i="25"/>
  <c r="G20" s="1"/>
  <c r="E19"/>
  <c r="E18"/>
  <c r="G18" s="1"/>
  <c r="F19" i="7" s="1"/>
  <c r="E15" i="25"/>
  <c r="G15" s="1"/>
  <c r="F16" i="7" s="1"/>
  <c r="E13" i="25"/>
  <c r="G13" s="1"/>
  <c r="F14" i="7" s="1"/>
  <c r="F37" i="25"/>
  <c r="E11"/>
  <c r="E9"/>
  <c r="G9" s="1"/>
  <c r="F10" i="7" s="1"/>
  <c r="E7" i="25"/>
  <c r="G7" s="1"/>
  <c r="F8" i="7" s="1"/>
  <c r="G19" i="25"/>
  <c r="G33"/>
  <c r="F34" i="7" s="1"/>
  <c r="G35" i="25"/>
  <c r="G11"/>
  <c r="F12" i="7" s="1"/>
  <c r="E5" i="25"/>
  <c r="D44"/>
  <c r="E32"/>
  <c r="G32" s="1"/>
  <c r="F39"/>
  <c r="F44" s="1"/>
  <c r="E17"/>
  <c r="G17" s="1"/>
  <c r="F18" i="7" s="1"/>
  <c r="I43" i="24"/>
  <c r="H43"/>
  <c r="G43"/>
  <c r="F43"/>
  <c r="E43"/>
  <c r="D43"/>
  <c r="C43"/>
  <c r="I42"/>
  <c r="H42"/>
  <c r="G42"/>
  <c r="F42"/>
  <c r="E42"/>
  <c r="I41"/>
  <c r="H41"/>
  <c r="G41"/>
  <c r="F41"/>
  <c r="E41"/>
  <c r="D41"/>
  <c r="I40"/>
  <c r="H40"/>
  <c r="G40"/>
  <c r="F40"/>
  <c r="E40"/>
  <c r="D40"/>
  <c r="C40"/>
  <c r="I39"/>
  <c r="H39"/>
  <c r="G39"/>
  <c r="F39"/>
  <c r="E39"/>
  <c r="D39"/>
  <c r="C39"/>
  <c r="I37"/>
  <c r="H37"/>
  <c r="G37"/>
  <c r="F37"/>
  <c r="E37"/>
  <c r="C37"/>
  <c r="J36" i="23"/>
  <c r="J34"/>
  <c r="I43"/>
  <c r="I43" i="29"/>
  <c r="G43" i="23"/>
  <c r="E43"/>
  <c r="C43"/>
  <c r="J30"/>
  <c r="J28"/>
  <c r="J27"/>
  <c r="J25"/>
  <c r="I42"/>
  <c r="G42"/>
  <c r="E42"/>
  <c r="E42" i="29" s="1"/>
  <c r="J23" i="23"/>
  <c r="J21"/>
  <c r="J19"/>
  <c r="J19" i="29" s="1"/>
  <c r="H41" i="23"/>
  <c r="F41"/>
  <c r="D41" i="29"/>
  <c r="H40" i="23"/>
  <c r="F40"/>
  <c r="D40"/>
  <c r="J13"/>
  <c r="C13" i="5" s="1"/>
  <c r="J11" i="23"/>
  <c r="J11" i="29" s="1"/>
  <c r="J9" i="23"/>
  <c r="C9" i="5" s="1"/>
  <c r="J7" i="23"/>
  <c r="C7" i="5" s="1"/>
  <c r="H39" i="23"/>
  <c r="F39"/>
  <c r="J9" i="29"/>
  <c r="J7"/>
  <c r="C11" i="5"/>
  <c r="C11" i="30" s="1"/>
  <c r="C19" i="5"/>
  <c r="C19" i="30" s="1"/>
  <c r="J23" i="29"/>
  <c r="C23" i="5"/>
  <c r="C23" i="30" s="1"/>
  <c r="C25" i="5"/>
  <c r="C28"/>
  <c r="J34" i="29"/>
  <c r="C34" i="5"/>
  <c r="C34" i="30" s="1"/>
  <c r="D40" i="29"/>
  <c r="F40"/>
  <c r="H40"/>
  <c r="F41"/>
  <c r="H41"/>
  <c r="C43"/>
  <c r="E43"/>
  <c r="G43"/>
  <c r="J13"/>
  <c r="J21"/>
  <c r="C21" i="5"/>
  <c r="C21" i="30" s="1"/>
  <c r="C27" i="5"/>
  <c r="C30"/>
  <c r="J36" i="29"/>
  <c r="C36" i="5"/>
  <c r="G42" i="29"/>
  <c r="I42"/>
  <c r="F36" i="7"/>
  <c r="F20"/>
  <c r="H44" i="24"/>
  <c r="H39" i="29"/>
  <c r="C44" i="24"/>
  <c r="E44"/>
  <c r="G44"/>
  <c r="J43"/>
  <c r="J41"/>
  <c r="F44"/>
  <c r="F39" i="29"/>
  <c r="E41" i="25"/>
  <c r="E43"/>
  <c r="G43" s="1"/>
  <c r="G5"/>
  <c r="J40" i="24"/>
  <c r="C39" i="23"/>
  <c r="C39" i="29" s="1"/>
  <c r="E39" i="23"/>
  <c r="E39" i="29" s="1"/>
  <c r="G39" i="23"/>
  <c r="G39" i="29" s="1"/>
  <c r="I39" i="23"/>
  <c r="I39" i="29" s="1"/>
  <c r="C40" i="23"/>
  <c r="C40" i="29" s="1"/>
  <c r="E40" i="23"/>
  <c r="E40" i="29" s="1"/>
  <c r="G40" i="23"/>
  <c r="G40" i="29" s="1"/>
  <c r="I40" i="23"/>
  <c r="I40" i="29" s="1"/>
  <c r="C41" i="23"/>
  <c r="C41" i="29" s="1"/>
  <c r="E41" i="23"/>
  <c r="E41" i="29" s="1"/>
  <c r="D42" i="23"/>
  <c r="F42"/>
  <c r="F42" i="29" s="1"/>
  <c r="H42" i="23"/>
  <c r="D43"/>
  <c r="D43" i="29"/>
  <c r="F43" i="23"/>
  <c r="F43" i="29"/>
  <c r="H43" i="23"/>
  <c r="H43" i="29"/>
  <c r="J5" i="23"/>
  <c r="J6"/>
  <c r="J8"/>
  <c r="J10"/>
  <c r="J12"/>
  <c r="J14"/>
  <c r="J16"/>
  <c r="G41"/>
  <c r="G44" s="1"/>
  <c r="G44" i="29" s="1"/>
  <c r="I41" i="23"/>
  <c r="I44" s="1"/>
  <c r="J18"/>
  <c r="J20"/>
  <c r="J22"/>
  <c r="J26"/>
  <c r="J29"/>
  <c r="J31"/>
  <c r="J33"/>
  <c r="J35"/>
  <c r="J39" i="24"/>
  <c r="C44" i="23"/>
  <c r="J40"/>
  <c r="J41"/>
  <c r="J15"/>
  <c r="J17"/>
  <c r="J24"/>
  <c r="J32"/>
  <c r="D37"/>
  <c r="F37"/>
  <c r="F37" i="29"/>
  <c r="H37" i="23"/>
  <c r="H37" i="29"/>
  <c r="D39" i="23"/>
  <c r="D44"/>
  <c r="C37"/>
  <c r="C37" i="29"/>
  <c r="E37" i="23"/>
  <c r="G37"/>
  <c r="G37" i="29"/>
  <c r="I37" i="23"/>
  <c r="I37" i="29"/>
  <c r="F12" i="30"/>
  <c r="J32" i="29"/>
  <c r="C32" i="5"/>
  <c r="J17" i="29"/>
  <c r="C17" i="5"/>
  <c r="C17" i="30" s="1"/>
  <c r="J35" i="29"/>
  <c r="C35" i="5"/>
  <c r="C35" i="30" s="1"/>
  <c r="C31" i="5"/>
  <c r="C26"/>
  <c r="J20" i="29"/>
  <c r="C20" i="5"/>
  <c r="C20" i="30" s="1"/>
  <c r="J16" i="29"/>
  <c r="C16" i="5"/>
  <c r="C16" i="30" s="1"/>
  <c r="J12" i="29"/>
  <c r="C12" i="5"/>
  <c r="C12" i="30" s="1"/>
  <c r="J8" i="29"/>
  <c r="C8" i="5"/>
  <c r="J5" i="29"/>
  <c r="C5" i="5"/>
  <c r="C5" i="30" s="1"/>
  <c r="H44" i="23"/>
  <c r="J40" i="29"/>
  <c r="C44"/>
  <c r="H44"/>
  <c r="I41"/>
  <c r="C24" i="5"/>
  <c r="J15" i="29"/>
  <c r="C15" i="5"/>
  <c r="C15" i="30" s="1"/>
  <c r="J33" i="29"/>
  <c r="C33" i="5"/>
  <c r="C33" i="30" s="1"/>
  <c r="C29" i="5"/>
  <c r="C42" s="1"/>
  <c r="J22" i="29"/>
  <c r="C22" i="5"/>
  <c r="C22" i="30" s="1"/>
  <c r="J18" i="29"/>
  <c r="C18" i="5"/>
  <c r="C18" i="30" s="1"/>
  <c r="J14" i="29"/>
  <c r="C14" i="5"/>
  <c r="J10" i="29"/>
  <c r="C10" i="5"/>
  <c r="C10" i="30" s="1"/>
  <c r="J6" i="29"/>
  <c r="C6" i="5"/>
  <c r="C6" i="30" s="1"/>
  <c r="J41" i="29"/>
  <c r="D39"/>
  <c r="G41"/>
  <c r="H42"/>
  <c r="G41" i="25"/>
  <c r="F6" i="7"/>
  <c r="J42" i="23"/>
  <c r="J43"/>
  <c r="J43" i="29"/>
  <c r="F44" i="23"/>
  <c r="F44" i="29"/>
  <c r="E44" i="23"/>
  <c r="E44" i="29" s="1"/>
  <c r="J39" i="23"/>
  <c r="J39" i="29" s="1"/>
  <c r="F43" i="5"/>
  <c r="F43" i="30" s="1"/>
  <c r="D43" i="5"/>
  <c r="D43" i="30"/>
  <c r="F42" i="5"/>
  <c r="F42" i="30" s="1"/>
  <c r="D42" i="5"/>
  <c r="D42" i="30"/>
  <c r="F41" i="5"/>
  <c r="F41" i="30" s="1"/>
  <c r="D41" i="5"/>
  <c r="D41" i="30"/>
  <c r="F40" i="5"/>
  <c r="F40" i="30" s="1"/>
  <c r="D40" i="5"/>
  <c r="D40" i="30"/>
  <c r="F39" i="5"/>
  <c r="F39" i="30" s="1"/>
  <c r="D39" i="5"/>
  <c r="D39" i="30"/>
  <c r="C43" i="5"/>
  <c r="C43" i="30" s="1"/>
  <c r="D37" i="5"/>
  <c r="D37" i="30"/>
  <c r="F44" i="5"/>
  <c r="D44"/>
  <c r="D44" i="30"/>
  <c r="F37" i="5"/>
  <c r="F37" i="30" s="1"/>
  <c r="E8" i="5"/>
  <c r="G8" s="1"/>
  <c r="E9" i="7" s="1"/>
  <c r="E11" i="5"/>
  <c r="G11" s="1"/>
  <c r="E12"/>
  <c r="G12" s="1"/>
  <c r="E14"/>
  <c r="G14" s="1"/>
  <c r="E17"/>
  <c r="E17" i="30" s="1"/>
  <c r="E20" i="5"/>
  <c r="E20" i="30" s="1"/>
  <c r="E25" i="5"/>
  <c r="E26"/>
  <c r="E28"/>
  <c r="E32"/>
  <c r="E32" i="30" s="1"/>
  <c r="E33" i="5"/>
  <c r="E33" i="30" s="1"/>
  <c r="E34" i="5"/>
  <c r="G34" s="1"/>
  <c r="G33"/>
  <c r="E34" i="7" s="1"/>
  <c r="G26" i="5"/>
  <c r="E27" i="7" s="1"/>
  <c r="G20" i="5"/>
  <c r="E21" i="7" s="1"/>
  <c r="E11" i="30"/>
  <c r="E34"/>
  <c r="G25" i="5"/>
  <c r="E5"/>
  <c r="E5" i="30" s="1"/>
  <c r="E26" i="7"/>
  <c r="G33" i="30"/>
  <c r="E36" i="5"/>
  <c r="E36" i="30" s="1"/>
  <c r="E15" i="5"/>
  <c r="E15" i="30" s="1"/>
  <c r="G5" i="5" l="1"/>
  <c r="E6" i="7" s="1"/>
  <c r="E29" i="5"/>
  <c r="G29" s="1"/>
  <c r="E30" i="7" s="1"/>
  <c r="E21" i="5"/>
  <c r="G21" s="1"/>
  <c r="E10"/>
  <c r="G10" s="1"/>
  <c r="E6"/>
  <c r="G6" s="1"/>
  <c r="E7" i="7" s="1"/>
  <c r="I44" i="24"/>
  <c r="N30"/>
  <c r="N28"/>
  <c r="N26"/>
  <c r="N24"/>
  <c r="N31"/>
  <c r="N29"/>
  <c r="N27"/>
  <c r="N25"/>
  <c r="E37" i="29"/>
  <c r="C13" i="30"/>
  <c r="E13" i="5"/>
  <c r="C7" i="30"/>
  <c r="E7" i="5"/>
  <c r="E12" i="7"/>
  <c r="G11" i="30"/>
  <c r="G8" i="25"/>
  <c r="E8" i="30"/>
  <c r="E10"/>
  <c r="G10" i="25"/>
  <c r="F11" i="7" s="1"/>
  <c r="G12" i="25"/>
  <c r="F13" i="7" s="1"/>
  <c r="E12" i="30"/>
  <c r="G14" i="25"/>
  <c r="F15" i="7" s="1"/>
  <c r="E14" i="30"/>
  <c r="G15" i="5"/>
  <c r="E16" i="7" s="1"/>
  <c r="G32" i="5"/>
  <c r="E33" i="7" s="1"/>
  <c r="E21" i="30"/>
  <c r="C40" i="5"/>
  <c r="C40" i="30" s="1"/>
  <c r="E6" i="25"/>
  <c r="E6" i="30" s="1"/>
  <c r="E16" i="25"/>
  <c r="G16" s="1"/>
  <c r="F17" i="7" s="1"/>
  <c r="H12"/>
  <c r="D42"/>
  <c r="D46"/>
  <c r="J44" i="23"/>
  <c r="E19" i="5"/>
  <c r="C41"/>
  <c r="C41" i="30" s="1"/>
  <c r="J37" i="23"/>
  <c r="F21" i="7"/>
  <c r="H21" s="1"/>
  <c r="G20" i="30"/>
  <c r="H34" i="7"/>
  <c r="E35"/>
  <c r="H35" s="1"/>
  <c r="G34" i="30"/>
  <c r="E22" i="7"/>
  <c r="H22" s="1"/>
  <c r="G21" i="30"/>
  <c r="E15" i="7"/>
  <c r="G14" i="30"/>
  <c r="E13" i="7"/>
  <c r="G12" i="30"/>
  <c r="E11" i="7"/>
  <c r="G10" i="30"/>
  <c r="F44" i="7"/>
  <c r="F33"/>
  <c r="G32" i="30"/>
  <c r="H15" i="7"/>
  <c r="F9"/>
  <c r="H9" s="1"/>
  <c r="G8" i="30"/>
  <c r="F43" i="7"/>
  <c r="H11"/>
  <c r="H13"/>
  <c r="G15" i="30"/>
  <c r="G36" i="5"/>
  <c r="G17"/>
  <c r="G28"/>
  <c r="E35"/>
  <c r="E31"/>
  <c r="E30"/>
  <c r="E27"/>
  <c r="E24"/>
  <c r="E23"/>
  <c r="E22"/>
  <c r="E18"/>
  <c r="E16"/>
  <c r="C14" i="30"/>
  <c r="C8"/>
  <c r="C32"/>
  <c r="C36"/>
  <c r="E40" i="25"/>
  <c r="G38" i="7"/>
  <c r="I44" i="29"/>
  <c r="G44" i="31"/>
  <c r="H13"/>
  <c r="H6"/>
  <c r="H14"/>
  <c r="C44"/>
  <c r="F44"/>
  <c r="G25" i="7"/>
  <c r="G16"/>
  <c r="G15"/>
  <c r="I15"/>
  <c r="D44" i="31"/>
  <c r="E40"/>
  <c r="G7" i="7"/>
  <c r="G23"/>
  <c r="E6" i="31"/>
  <c r="H39" i="26"/>
  <c r="G19" i="7"/>
  <c r="G11"/>
  <c r="I11"/>
  <c r="G28"/>
  <c r="G32"/>
  <c r="E9" i="31"/>
  <c r="E7"/>
  <c r="H41" i="26"/>
  <c r="H41" i="31" s="1"/>
  <c r="E43" i="26"/>
  <c r="E43" i="31" s="1"/>
  <c r="I9" i="7"/>
  <c r="G9"/>
  <c r="G26"/>
  <c r="G35"/>
  <c r="I35"/>
  <c r="I13"/>
  <c r="G13"/>
  <c r="G21"/>
  <c r="I21"/>
  <c r="E39" i="26"/>
  <c r="E42"/>
  <c r="E42" i="31" s="1"/>
  <c r="C45" i="7"/>
  <c r="E41" i="26"/>
  <c r="E41" i="31" s="1"/>
  <c r="H37"/>
  <c r="C46" i="7"/>
  <c r="C44"/>
  <c r="H42" i="26"/>
  <c r="H42" i="31" s="1"/>
  <c r="F44" i="30"/>
  <c r="G5"/>
  <c r="I6" i="7"/>
  <c r="H6"/>
  <c r="G45"/>
  <c r="E39" i="31"/>
  <c r="E44" i="26"/>
  <c r="E44" i="31" s="1"/>
  <c r="G8" i="7"/>
  <c r="C42"/>
  <c r="I12"/>
  <c r="G12"/>
  <c r="G17"/>
  <c r="C43"/>
  <c r="I22"/>
  <c r="G22"/>
  <c r="G27"/>
  <c r="G31"/>
  <c r="G36"/>
  <c r="H16"/>
  <c r="I16"/>
  <c r="C39" i="5"/>
  <c r="E9"/>
  <c r="C37"/>
  <c r="C9" i="30"/>
  <c r="G46" i="7"/>
  <c r="G44"/>
  <c r="D47"/>
  <c r="G43"/>
  <c r="H39" i="31"/>
  <c r="H44" i="26"/>
  <c r="H44" i="31" s="1"/>
  <c r="G10" i="7"/>
  <c r="G14"/>
  <c r="G20"/>
  <c r="G24"/>
  <c r="G29"/>
  <c r="I34"/>
  <c r="G34"/>
  <c r="D25" i="29" l="1"/>
  <c r="J25" i="24"/>
  <c r="D29" i="29"/>
  <c r="J29" i="24"/>
  <c r="J24"/>
  <c r="D24" i="29"/>
  <c r="D42" i="24"/>
  <c r="D37"/>
  <c r="D37" i="29" s="1"/>
  <c r="J28" i="24"/>
  <c r="D28" i="29"/>
  <c r="D27"/>
  <c r="J27" i="24"/>
  <c r="D31" i="29"/>
  <c r="J31" i="24"/>
  <c r="J26"/>
  <c r="D26" i="29"/>
  <c r="J30" i="24"/>
  <c r="D30" i="29"/>
  <c r="G13" i="5"/>
  <c r="E13" i="30"/>
  <c r="G7" i="5"/>
  <c r="E7" i="30"/>
  <c r="G6" i="25"/>
  <c r="E39"/>
  <c r="G39" s="1"/>
  <c r="G19" i="5"/>
  <c r="E19" i="30"/>
  <c r="G16" i="5"/>
  <c r="E16" i="30"/>
  <c r="E40" i="5"/>
  <c r="G22"/>
  <c r="E22" i="30"/>
  <c r="G24" i="5"/>
  <c r="E42"/>
  <c r="G30"/>
  <c r="E35" i="30"/>
  <c r="G35" i="5"/>
  <c r="E18" i="7"/>
  <c r="G17" i="30"/>
  <c r="E37" i="7"/>
  <c r="G36" i="30"/>
  <c r="G40" i="25"/>
  <c r="E18" i="30"/>
  <c r="E41" i="5"/>
  <c r="G18"/>
  <c r="E23" i="30"/>
  <c r="G23" i="5"/>
  <c r="G27"/>
  <c r="G31"/>
  <c r="E29" i="7"/>
  <c r="F46"/>
  <c r="I33"/>
  <c r="H33"/>
  <c r="E43" i="5"/>
  <c r="E9" i="30"/>
  <c r="E39" i="5"/>
  <c r="E37"/>
  <c r="G9"/>
  <c r="G42" i="7"/>
  <c r="C47"/>
  <c r="G47" s="1"/>
  <c r="C44" i="5"/>
  <c r="C39" i="30"/>
  <c r="C31" i="25" l="1"/>
  <c r="J31" i="29"/>
  <c r="J27"/>
  <c r="C27" i="25"/>
  <c r="C28"/>
  <c r="J28" i="29"/>
  <c r="D44" i="24"/>
  <c r="D44" i="29" s="1"/>
  <c r="J42" i="24"/>
  <c r="D42" i="29"/>
  <c r="C24" i="25"/>
  <c r="J24" i="29"/>
  <c r="J37" i="24"/>
  <c r="J37" i="29" s="1"/>
  <c r="C30" i="25"/>
  <c r="J30" i="29"/>
  <c r="C26" i="25"/>
  <c r="J26" i="29"/>
  <c r="C29" i="25"/>
  <c r="J29" i="29"/>
  <c r="J25"/>
  <c r="C25" i="25"/>
  <c r="E14" i="7"/>
  <c r="G13" i="30"/>
  <c r="G7"/>
  <c r="E8" i="7"/>
  <c r="F7"/>
  <c r="G6" i="30"/>
  <c r="E20" i="7"/>
  <c r="G19" i="30"/>
  <c r="E43"/>
  <c r="G43" i="5"/>
  <c r="G43" i="30" s="1"/>
  <c r="E24" i="7"/>
  <c r="G23" i="30"/>
  <c r="G18"/>
  <c r="E19" i="7"/>
  <c r="I37"/>
  <c r="H37"/>
  <c r="I18"/>
  <c r="H18"/>
  <c r="E31"/>
  <c r="G42" i="5"/>
  <c r="G40"/>
  <c r="G40" i="30" s="1"/>
  <c r="E40"/>
  <c r="E17" i="7"/>
  <c r="G16" i="30"/>
  <c r="E32" i="7"/>
  <c r="E28"/>
  <c r="E41" i="30"/>
  <c r="G41" i="5"/>
  <c r="G41" i="30" s="1"/>
  <c r="E36" i="7"/>
  <c r="G35" i="30"/>
  <c r="E25" i="7"/>
  <c r="E23"/>
  <c r="G22" i="30"/>
  <c r="G37" i="5"/>
  <c r="E10" i="7"/>
  <c r="G9" i="30"/>
  <c r="G39" i="5"/>
  <c r="E39" i="30"/>
  <c r="E44" i="5"/>
  <c r="E25" i="25" l="1"/>
  <c r="C25" i="30"/>
  <c r="E28" i="25"/>
  <c r="C28" i="30"/>
  <c r="E31" i="25"/>
  <c r="C31" i="30"/>
  <c r="E29" i="25"/>
  <c r="C29" i="30"/>
  <c r="E26" i="25"/>
  <c r="C26" i="30"/>
  <c r="E30" i="25"/>
  <c r="C30" i="30"/>
  <c r="E24" i="25"/>
  <c r="C37"/>
  <c r="C37" i="30" s="1"/>
  <c r="C24"/>
  <c r="C42" i="25"/>
  <c r="J42" i="29"/>
  <c r="J44" i="24"/>
  <c r="J44" i="29" s="1"/>
  <c r="E27" i="25"/>
  <c r="C27" i="30"/>
  <c r="H14" i="7"/>
  <c r="I14"/>
  <c r="H8"/>
  <c r="I8"/>
  <c r="H7"/>
  <c r="I7"/>
  <c r="F42"/>
  <c r="H20"/>
  <c r="I20"/>
  <c r="E44"/>
  <c r="H44" s="1"/>
  <c r="H24"/>
  <c r="I24"/>
  <c r="H23"/>
  <c r="I23"/>
  <c r="E45"/>
  <c r="E46"/>
  <c r="H36"/>
  <c r="I36"/>
  <c r="E43"/>
  <c r="H17"/>
  <c r="I17"/>
  <c r="H19"/>
  <c r="I19"/>
  <c r="G44" i="5"/>
  <c r="G39" i="30"/>
  <c r="E42" i="7"/>
  <c r="H10"/>
  <c r="I10"/>
  <c r="E38"/>
  <c r="G27" i="25" l="1"/>
  <c r="E27" i="30"/>
  <c r="E42" i="25"/>
  <c r="G24"/>
  <c r="E37"/>
  <c r="E24" i="30"/>
  <c r="G30" i="25"/>
  <c r="E30" i="30"/>
  <c r="G26" i="25"/>
  <c r="E26" i="30"/>
  <c r="G29" i="25"/>
  <c r="E29" i="30"/>
  <c r="G31" i="25"/>
  <c r="E31" i="30"/>
  <c r="G28" i="25"/>
  <c r="E28" i="30"/>
  <c r="G25" i="25"/>
  <c r="E25" i="30"/>
  <c r="C42"/>
  <c r="C44" i="25"/>
  <c r="C44" i="30" s="1"/>
  <c r="I44" i="7"/>
  <c r="H43"/>
  <c r="I43"/>
  <c r="H46"/>
  <c r="I46"/>
  <c r="H42"/>
  <c r="E47"/>
  <c r="I42"/>
  <c r="F26" l="1"/>
  <c r="G25" i="30"/>
  <c r="F29" i="7"/>
  <c r="G28" i="30"/>
  <c r="F32" i="7"/>
  <c r="G31" i="30"/>
  <c r="F30" i="7"/>
  <c r="G29" i="30"/>
  <c r="F27" i="7"/>
  <c r="G26" i="30"/>
  <c r="F31" i="7"/>
  <c r="G30" i="30"/>
  <c r="G37" i="25"/>
  <c r="E37" i="30"/>
  <c r="G42" i="25"/>
  <c r="E44"/>
  <c r="E44" i="30" s="1"/>
  <c r="E42"/>
  <c r="F28" i="7"/>
  <c r="G27" i="30"/>
  <c r="F25" i="7"/>
  <c r="G24" i="30"/>
  <c r="G44" i="25" l="1"/>
  <c r="G44" i="30" s="1"/>
  <c r="G42"/>
  <c r="F38" i="7"/>
  <c r="G37" i="30"/>
  <c r="J31" i="7"/>
  <c r="I31"/>
  <c r="H31"/>
  <c r="H27"/>
  <c r="I27"/>
  <c r="J27"/>
  <c r="I30"/>
  <c r="H30"/>
  <c r="J30"/>
  <c r="J32"/>
  <c r="I32"/>
  <c r="H32"/>
  <c r="J29"/>
  <c r="I29"/>
  <c r="H29"/>
  <c r="I26"/>
  <c r="H26"/>
  <c r="J26"/>
  <c r="F45"/>
  <c r="J45" s="1"/>
  <c r="J25"/>
  <c r="I25"/>
  <c r="H25"/>
  <c r="J28"/>
  <c r="I28"/>
  <c r="H28"/>
  <c r="J44" l="1"/>
  <c r="J46"/>
  <c r="J6"/>
  <c r="J24"/>
  <c r="J33"/>
  <c r="J10"/>
  <c r="J37"/>
  <c r="J21"/>
  <c r="J8"/>
  <c r="J23"/>
  <c r="J18"/>
  <c r="J16"/>
  <c r="J19"/>
  <c r="J11"/>
  <c r="J9"/>
  <c r="J43"/>
  <c r="J12"/>
  <c r="J34"/>
  <c r="J35"/>
  <c r="J20"/>
  <c r="J15"/>
  <c r="J22"/>
  <c r="J13"/>
  <c r="J14"/>
  <c r="J36"/>
  <c r="J38"/>
  <c r="J17"/>
  <c r="J7"/>
  <c r="J42"/>
  <c r="I38"/>
  <c r="H38"/>
  <c r="I45"/>
  <c r="F47"/>
  <c r="J47" s="1"/>
  <c r="H45"/>
  <c r="H47" l="1"/>
  <c r="I47"/>
</calcChain>
</file>

<file path=xl/sharedStrings.xml><?xml version="1.0" encoding="utf-8"?>
<sst xmlns="http://schemas.openxmlformats.org/spreadsheetml/2006/main" count="528" uniqueCount="100">
  <si>
    <t>Sygehus</t>
  </si>
  <si>
    <t>Rigshospitalet</t>
  </si>
  <si>
    <t>Bispebjerg Hospital</t>
  </si>
  <si>
    <t>Hvidovre Hospital</t>
  </si>
  <si>
    <t>Amager Hospital</t>
  </si>
  <si>
    <t>Frederiksberg Hospital</t>
  </si>
  <si>
    <t>Gentofte Hospital</t>
  </si>
  <si>
    <t>Glostrup Hospital</t>
  </si>
  <si>
    <t>Herlev Hospital</t>
  </si>
  <si>
    <t>Nordsjællands Hospital</t>
  </si>
  <si>
    <t>Sygehus Syd</t>
  </si>
  <si>
    <t>Bornholms Hospital</t>
  </si>
  <si>
    <t>Odense Universitetshospital</t>
  </si>
  <si>
    <t>Sydvestjysk Sygehus</t>
  </si>
  <si>
    <t>Fredericia og Kolding Sygehuse</t>
  </si>
  <si>
    <t>Regionshospitalerne i Hospitalsenheden Vest</t>
  </si>
  <si>
    <t>Regionshospitalet Silkeborg</t>
  </si>
  <si>
    <t>Århus Universitetshospital, Århus Sygehus</t>
  </si>
  <si>
    <t>Regionshospitalet Randers/Grenå</t>
  </si>
  <si>
    <t>Sygehus Thy - Mors</t>
  </si>
  <si>
    <t>Sygehus Vendsyssel</t>
  </si>
  <si>
    <t>Sygehus Himmerland</t>
  </si>
  <si>
    <t>Nr.</t>
  </si>
  <si>
    <t>Skema 1</t>
  </si>
  <si>
    <t>Skema 2</t>
  </si>
  <si>
    <t>Skema 3</t>
  </si>
  <si>
    <t>Skema 4</t>
  </si>
  <si>
    <t>Skema 5</t>
  </si>
  <si>
    <t>Skema 6</t>
  </si>
  <si>
    <t>Skema 7</t>
  </si>
  <si>
    <t>Hele landet</t>
  </si>
  <si>
    <t>Totale driftsudgifter, ekskl. udgifter der ikke bidrager til somatisk patient behandling</t>
  </si>
  <si>
    <t>Internt finansieret forskning 
(-)</t>
  </si>
  <si>
    <t>Korrigeret produktionsværdi, mio. kr.</t>
  </si>
  <si>
    <t>Udgifter</t>
  </si>
  <si>
    <t>Produktivitet</t>
  </si>
  <si>
    <t>Produk-tivitets-niveau</t>
  </si>
  <si>
    <t>Medicin på ambulante afdelinger
(-)</t>
  </si>
  <si>
    <t>De korrigerede tilrettede driftsudgifter
(=)</t>
  </si>
  <si>
    <t>De tilrettede driftsudgifter 
(=)</t>
  </si>
  <si>
    <t xml:space="preserve">Ambulant produktions-værdi inkl. genoptræning </t>
  </si>
  <si>
    <t xml:space="preserve">Stationær produktions-værdi inkl. genoptræning </t>
  </si>
  <si>
    <t xml:space="preserve">Korrektion for forskelle i organisering
(-) </t>
  </si>
  <si>
    <t>Produk-tionsværdi</t>
  </si>
  <si>
    <t>Hovedstaden</t>
  </si>
  <si>
    <t>Sjælland</t>
  </si>
  <si>
    <t>Syddanmark</t>
  </si>
  <si>
    <t>Midtjylland</t>
  </si>
  <si>
    <t>Nordjylland</t>
  </si>
  <si>
    <t>Korrigeret produktions-værdi
(=)</t>
  </si>
  <si>
    <t>OUH Svendborg Sygehus</t>
  </si>
  <si>
    <t>Regionshospitalet Horsens/Brædstrup/Odder</t>
  </si>
  <si>
    <t>Århus Universitetshospital, Skejby Sygehus</t>
  </si>
  <si>
    <t>Regionshospital Viborg/Skive/Kjellerup</t>
  </si>
  <si>
    <t>Aalborg sygehus</t>
  </si>
  <si>
    <t>Ortopædkirurgi i Nordjylland</t>
  </si>
  <si>
    <t>Sygehus Nord</t>
  </si>
  <si>
    <t>Sygehus Sønderjylland</t>
  </si>
  <si>
    <t>Ukorrigeret produktions-værdi  i alt
(=)</t>
  </si>
  <si>
    <t>Tabel 1.</t>
  </si>
  <si>
    <t>Tabel 2.</t>
  </si>
  <si>
    <t>Tabel 4.</t>
  </si>
  <si>
    <t>Tabel 5.</t>
  </si>
  <si>
    <t>Tabel 7.</t>
  </si>
  <si>
    <t>Tabel 10.</t>
  </si>
  <si>
    <t>De korrigerede tilrettede driftsudgifter, mio. kr.</t>
  </si>
  <si>
    <t>P/L-faktor (08--&gt;09):</t>
  </si>
  <si>
    <t xml:space="preserve">Sygehusenes nettodriftsudgifter for 2008, 1.000 kr. 2009 priser </t>
  </si>
  <si>
    <t xml:space="preserve">Sygehusenes nettodriftsudgifter for 2009, 1.000 kr. 2009 priser </t>
  </si>
  <si>
    <t xml:space="preserve">Korrigerede tilrettede driftudgifter for 2008, 1.000 kr. 2009 priser </t>
  </si>
  <si>
    <t>Korrigeret produktionsværdi, 2009-aktivitet, 1.000 kr., 2009-takstsystem</t>
  </si>
  <si>
    <t>Udvikling, 2008-2009, pct.</t>
  </si>
  <si>
    <t xml:space="preserve">Regionsspeci-fikke korrektioner
(-) </t>
  </si>
  <si>
    <t>De Vestdanske Friklinikker, Give</t>
  </si>
  <si>
    <t>De Vestdanske Friklinikker, Brædstrup</t>
  </si>
  <si>
    <t xml:space="preserve">Korrigerede tilrettede driftudgifter for 2009, 1.000 kr. 2009 priser </t>
  </si>
  <si>
    <t>Korrigeret produktionsværdi, 2008-aktivitet, 1.000 kr., 2009-takstsystem</t>
  </si>
  <si>
    <t>Produktionsværdi, udgifter og produktivitet for amter og sygehuse, 2008-2009</t>
  </si>
  <si>
    <t>Tabel 3.</t>
  </si>
  <si>
    <t>Sygehusenes nettodriftsudgifter, procentvis ændring fra 2008-2009</t>
  </si>
  <si>
    <t>Korrigerede tilrettede driftudgifter for 2009, procentvis ændring fra 2008-2009</t>
  </si>
  <si>
    <t>Korrigeret produktionsværdi, procentvis ændring fra 2008-2009</t>
  </si>
  <si>
    <t>Tabel 6.</t>
  </si>
  <si>
    <t>Tabel 8.</t>
  </si>
  <si>
    <t>Tabel 9.</t>
  </si>
  <si>
    <t>Vejle-Give og Middelfart Sygehuse</t>
  </si>
  <si>
    <t>Korrektioner</t>
  </si>
  <si>
    <t>Fordelings-nøgle</t>
  </si>
  <si>
    <t>Hospice</t>
  </si>
  <si>
    <t>Bløder udligning skema 3</t>
  </si>
  <si>
    <t>Praksis- reservelæger</t>
  </si>
  <si>
    <t>Servicefunktion</t>
  </si>
  <si>
    <t>Praksis- reserve- læger</t>
  </si>
  <si>
    <t>Service- funktion</t>
  </si>
  <si>
    <t>Hospice Skema 2</t>
  </si>
  <si>
    <t>Fejl i indberetning skema 6</t>
  </si>
  <si>
    <t>Fejl i indberetningen i skema 7</t>
  </si>
  <si>
    <t>Korrektion for organisatoriske forskelle</t>
  </si>
  <si>
    <t>Vejle-Give og Middelfart sygehuse</t>
  </si>
  <si>
    <t>Bilag E til Løbende Offentliggørelse af Produktivitet i Sygehussektoren, 2008-2009. December 2010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</si>
</sst>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64" formatCode="0.0"/>
    <numFmt numFmtId="165" formatCode="#,##0.0"/>
    <numFmt numFmtId="166" formatCode="_ * #,##0_ ;_ * \-#,##0_ ;_ * &quot;-&quot;??_ ;_ @_ "/>
  </numFmts>
  <fonts count="17">
    <font>
      <sz val="10"/>
      <name val="MS Sans Serif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MS Sans Serif"/>
      <family val="2"/>
    </font>
    <font>
      <sz val="10"/>
      <name val="MS Sans Serif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22" applyFont="1" applyFill="1" applyBorder="1" applyAlignment="1">
      <alignment horizontal="center"/>
    </xf>
    <xf numFmtId="0" fontId="2" fillId="0" borderId="0" xfId="22" applyFont="1" applyFill="1" applyBorder="1" applyAlignment="1">
      <alignment horizontal="right"/>
    </xf>
    <xf numFmtId="0" fontId="5" fillId="0" borderId="0" xfId="22" applyFont="1" applyFill="1" applyBorder="1" applyAlignment="1">
      <alignment horizontal="right" vertical="center" wrapText="1"/>
    </xf>
    <xf numFmtId="0" fontId="2" fillId="0" borderId="0" xfId="22" applyFont="1" applyFill="1" applyAlignment="1">
      <alignment horizontal="center"/>
    </xf>
    <xf numFmtId="0" fontId="2" fillId="0" borderId="0" xfId="22" applyFont="1" applyFill="1" applyAlignment="1">
      <alignment horizontal="right"/>
    </xf>
    <xf numFmtId="0" fontId="9" fillId="2" borderId="0" xfId="22" applyFont="1" applyFill="1" applyAlignment="1"/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6" fillId="0" borderId="1" xfId="22" applyFont="1" applyFill="1" applyBorder="1" applyAlignment="1">
      <alignment horizontal="right" wrapText="1"/>
    </xf>
    <xf numFmtId="3" fontId="4" fillId="0" borderId="2" xfId="22" applyNumberFormat="1" applyFont="1" applyFill="1" applyBorder="1" applyAlignment="1">
      <alignment horizontal="right" vertical="center"/>
    </xf>
    <xf numFmtId="3" fontId="7" fillId="0" borderId="2" xfId="22" applyNumberFormat="1" applyFont="1" applyFill="1" applyBorder="1" applyAlignment="1">
      <alignment horizontal="right" vertical="center"/>
    </xf>
    <xf numFmtId="1" fontId="2" fillId="0" borderId="0" xfId="0" applyNumberFormat="1" applyFont="1"/>
    <xf numFmtId="0" fontId="7" fillId="0" borderId="1" xfId="22" applyFont="1" applyFill="1" applyBorder="1" applyAlignment="1">
      <alignment horizontal="left"/>
    </xf>
    <xf numFmtId="0" fontId="2" fillId="0" borderId="3" xfId="0" applyFont="1" applyBorder="1"/>
    <xf numFmtId="0" fontId="6" fillId="0" borderId="4" xfId="22" applyFont="1" applyFill="1" applyBorder="1" applyAlignment="1">
      <alignment horizontal="left" wrapText="1"/>
    </xf>
    <xf numFmtId="0" fontId="7" fillId="0" borderId="2" xfId="22" applyFont="1" applyFill="1" applyBorder="1" applyAlignment="1">
      <alignment horizontal="left" wrapText="1"/>
    </xf>
    <xf numFmtId="0" fontId="7" fillId="0" borderId="4" xfId="22" applyFont="1" applyFill="1" applyBorder="1" applyAlignment="1">
      <alignment horizontal="left" wrapText="1"/>
    </xf>
    <xf numFmtId="0" fontId="4" fillId="0" borderId="5" xfId="22" applyFont="1" applyFill="1" applyBorder="1" applyAlignment="1">
      <alignment horizontal="left"/>
    </xf>
    <xf numFmtId="0" fontId="4" fillId="0" borderId="6" xfId="22" applyFont="1" applyFill="1" applyBorder="1" applyAlignment="1">
      <alignment horizontal="left"/>
    </xf>
    <xf numFmtId="1" fontId="4" fillId="0" borderId="7" xfId="0" applyNumberFormat="1" applyFont="1" applyBorder="1"/>
    <xf numFmtId="0" fontId="4" fillId="0" borderId="0" xfId="22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7" fillId="0" borderId="3" xfId="22" applyFont="1" applyFill="1" applyBorder="1" applyAlignment="1">
      <alignment horizontal="left" wrapText="1"/>
    </xf>
    <xf numFmtId="3" fontId="2" fillId="0" borderId="0" xfId="22" applyNumberFormat="1" applyFont="1" applyFill="1" applyAlignment="1">
      <alignment horizontal="right"/>
    </xf>
    <xf numFmtId="0" fontId="5" fillId="0" borderId="0" xfId="24" applyFont="1"/>
    <xf numFmtId="3" fontId="2" fillId="0" borderId="0" xfId="0" applyNumberFormat="1" applyFont="1"/>
    <xf numFmtId="0" fontId="8" fillId="0" borderId="1" xfId="0" applyFont="1" applyBorder="1" applyAlignment="1">
      <alignment horizontal="right" wrapText="1"/>
    </xf>
    <xf numFmtId="0" fontId="5" fillId="0" borderId="0" xfId="23" applyFont="1"/>
    <xf numFmtId="164" fontId="4" fillId="0" borderId="5" xfId="0" applyNumberFormat="1" applyFont="1" applyBorder="1"/>
    <xf numFmtId="164" fontId="4" fillId="0" borderId="6" xfId="0" applyNumberFormat="1" applyFont="1" applyBorder="1"/>
    <xf numFmtId="164" fontId="4" fillId="0" borderId="7" xfId="0" applyNumberFormat="1" applyFont="1" applyBorder="1"/>
    <xf numFmtId="0" fontId="5" fillId="0" borderId="0" xfId="18" applyFont="1" applyFill="1" applyBorder="1" applyAlignment="1">
      <alignment horizontal="left"/>
    </xf>
    <xf numFmtId="0" fontId="4" fillId="0" borderId="2" xfId="18" applyFont="1" applyFill="1" applyBorder="1" applyAlignment="1">
      <alignment horizontal="left" vertical="center" wrapText="1"/>
    </xf>
    <xf numFmtId="3" fontId="4" fillId="0" borderId="2" xfId="22" applyNumberFormat="1" applyFont="1" applyFill="1" applyBorder="1" applyAlignment="1">
      <alignment vertical="center" wrapText="1"/>
    </xf>
    <xf numFmtId="3" fontId="4" fillId="0" borderId="2" xfId="18" applyNumberFormat="1" applyFont="1" applyFill="1" applyBorder="1" applyAlignment="1"/>
    <xf numFmtId="0" fontId="4" fillId="0" borderId="4" xfId="18" applyFont="1" applyFill="1" applyBorder="1" applyAlignment="1">
      <alignment horizontal="left" vertical="center" wrapText="1"/>
    </xf>
    <xf numFmtId="3" fontId="4" fillId="0" borderId="4" xfId="18" applyNumberFormat="1" applyFont="1" applyFill="1" applyBorder="1" applyAlignment="1"/>
    <xf numFmtId="0" fontId="4" fillId="0" borderId="1" xfId="22" applyFont="1" applyFill="1" applyBorder="1" applyAlignment="1">
      <alignment horizontal="left"/>
    </xf>
    <xf numFmtId="3" fontId="4" fillId="0" borderId="4" xfId="22" applyNumberFormat="1" applyFont="1" applyFill="1" applyBorder="1" applyAlignment="1">
      <alignment vertical="center"/>
    </xf>
    <xf numFmtId="0" fontId="4" fillId="0" borderId="0" xfId="22" applyFont="1" applyFill="1" applyAlignment="1">
      <alignment horizontal="left"/>
    </xf>
    <xf numFmtId="3" fontId="4" fillId="0" borderId="0" xfId="22" applyNumberFormat="1" applyFont="1" applyFill="1" applyBorder="1" applyAlignment="1">
      <alignment vertical="center"/>
    </xf>
    <xf numFmtId="0" fontId="4" fillId="0" borderId="3" xfId="22" applyFont="1" applyFill="1" applyBorder="1" applyAlignment="1">
      <alignment horizontal="left" wrapText="1"/>
    </xf>
    <xf numFmtId="3" fontId="4" fillId="0" borderId="8" xfId="18" applyNumberFormat="1" applyFont="1" applyBorder="1" applyAlignment="1"/>
    <xf numFmtId="3" fontId="4" fillId="0" borderId="3" xfId="18" applyNumberFormat="1" applyFont="1" applyBorder="1" applyAlignment="1"/>
    <xf numFmtId="0" fontId="4" fillId="0" borderId="2" xfId="22" applyFont="1" applyFill="1" applyBorder="1" applyAlignment="1">
      <alignment horizontal="left" wrapText="1"/>
    </xf>
    <xf numFmtId="3" fontId="4" fillId="0" borderId="9" xfId="18" applyNumberFormat="1" applyFont="1" applyBorder="1" applyAlignment="1"/>
    <xf numFmtId="3" fontId="4" fillId="0" borderId="2" xfId="18" applyNumberFormat="1" applyFont="1" applyBorder="1" applyAlignment="1"/>
    <xf numFmtId="0" fontId="2" fillId="0" borderId="0" xfId="22" applyFont="1" applyFill="1" applyAlignment="1">
      <alignment horizontal="left"/>
    </xf>
    <xf numFmtId="0" fontId="4" fillId="0" borderId="4" xfId="22" applyFont="1" applyFill="1" applyBorder="1" applyAlignment="1">
      <alignment horizontal="left" wrapText="1"/>
    </xf>
    <xf numFmtId="3" fontId="4" fillId="0" borderId="5" xfId="18" applyNumberFormat="1" applyFont="1" applyBorder="1" applyAlignment="1"/>
    <xf numFmtId="3" fontId="4" fillId="0" borderId="4" xfId="18" applyNumberFormat="1" applyFont="1" applyBorder="1" applyAlignment="1"/>
    <xf numFmtId="3" fontId="4" fillId="0" borderId="10" xfId="18" applyNumberFormat="1" applyFont="1" applyBorder="1" applyAlignment="1"/>
    <xf numFmtId="3" fontId="4" fillId="0" borderId="1" xfId="18" applyNumberFormat="1" applyFont="1" applyBorder="1" applyAlignment="1"/>
    <xf numFmtId="0" fontId="5" fillId="0" borderId="0" xfId="0" applyFont="1" applyFill="1" applyAlignment="1"/>
    <xf numFmtId="3" fontId="7" fillId="0" borderId="2" xfId="22" applyNumberFormat="1" applyFont="1" applyFill="1" applyBorder="1" applyAlignment="1">
      <alignment horizontal="right"/>
    </xf>
    <xf numFmtId="3" fontId="7" fillId="0" borderId="8" xfId="0" applyNumberFormat="1" applyFont="1" applyFill="1" applyBorder="1"/>
    <xf numFmtId="3" fontId="7" fillId="0" borderId="9" xfId="0" applyNumberFormat="1" applyFont="1" applyFill="1" applyBorder="1"/>
    <xf numFmtId="3" fontId="7" fillId="0" borderId="5" xfId="0" applyNumberFormat="1" applyFont="1" applyFill="1" applyBorder="1"/>
    <xf numFmtId="3" fontId="7" fillId="0" borderId="10" xfId="0" applyNumberFormat="1" applyFont="1" applyFill="1" applyBorder="1"/>
    <xf numFmtId="3" fontId="7" fillId="0" borderId="1" xfId="0" applyNumberFormat="1" applyFont="1" applyFill="1" applyBorder="1"/>
    <xf numFmtId="3" fontId="4" fillId="0" borderId="1" xfId="22" applyNumberFormat="1" applyFont="1" applyFill="1" applyBorder="1" applyAlignment="1">
      <alignment horizontal="right" vertical="center"/>
    </xf>
    <xf numFmtId="3" fontId="7" fillId="0" borderId="1" xfId="22" applyNumberFormat="1" applyFont="1" applyFill="1" applyBorder="1" applyAlignment="1">
      <alignment horizontal="right"/>
    </xf>
    <xf numFmtId="1" fontId="4" fillId="0" borderId="0" xfId="0" applyNumberFormat="1" applyFont="1" applyBorder="1"/>
    <xf numFmtId="3" fontId="7" fillId="0" borderId="3" xfId="0" applyNumberFormat="1" applyFont="1" applyFill="1" applyBorder="1"/>
    <xf numFmtId="3" fontId="7" fillId="0" borderId="2" xfId="0" applyNumberFormat="1" applyFont="1" applyFill="1" applyBorder="1"/>
    <xf numFmtId="3" fontId="7" fillId="0" borderId="4" xfId="0" applyNumberFormat="1" applyFont="1" applyFill="1" applyBorder="1"/>
    <xf numFmtId="3" fontId="4" fillId="0" borderId="0" xfId="18" applyNumberFormat="1" applyFont="1" applyBorder="1" applyAlignment="1"/>
    <xf numFmtId="3" fontId="2" fillId="0" borderId="0" xfId="22" applyNumberFormat="1" applyFont="1" applyFill="1" applyAlignment="1">
      <alignment horizontal="center"/>
    </xf>
    <xf numFmtId="0" fontId="6" fillId="0" borderId="1" xfId="22" applyFont="1" applyFill="1" applyBorder="1" applyAlignment="1">
      <alignment horizontal="left" wrapText="1"/>
    </xf>
    <xf numFmtId="3" fontId="4" fillId="0" borderId="2" xfId="22" applyNumberFormat="1" applyFont="1" applyFill="1" applyBorder="1" applyAlignment="1">
      <alignment vertical="center"/>
    </xf>
    <xf numFmtId="0" fontId="4" fillId="0" borderId="4" xfId="22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quotePrefix="1" applyNumberFormat="1"/>
    <xf numFmtId="3" fontId="4" fillId="0" borderId="11" xfId="0" applyNumberFormat="1" applyFont="1" applyBorder="1"/>
    <xf numFmtId="164" fontId="2" fillId="0" borderId="0" xfId="0" applyNumberFormat="1" applyFont="1"/>
    <xf numFmtId="1" fontId="2" fillId="0" borderId="0" xfId="0" applyNumberFormat="1" applyFont="1" applyBorder="1"/>
    <xf numFmtId="0" fontId="5" fillId="0" borderId="0" xfId="12" applyFont="1" applyFill="1" applyBorder="1" applyAlignment="1">
      <alignment horizontal="left"/>
    </xf>
    <xf numFmtId="0" fontId="11" fillId="0" borderId="0" xfId="12" applyFont="1" applyFill="1" applyBorder="1" applyAlignment="1">
      <alignment horizontal="right"/>
    </xf>
    <xf numFmtId="0" fontId="10" fillId="0" borderId="0" xfId="12" applyFont="1" applyFill="1" applyBorder="1" applyAlignment="1">
      <alignment horizontal="left" vertical="center" wrapText="1"/>
    </xf>
    <xf numFmtId="0" fontId="11" fillId="0" borderId="0" xfId="12" applyFont="1" applyFill="1" applyBorder="1" applyAlignment="1">
      <alignment horizontal="right" vertical="center" wrapText="1"/>
    </xf>
    <xf numFmtId="3" fontId="4" fillId="0" borderId="11" xfId="12" applyNumberFormat="1" applyFont="1" applyBorder="1"/>
    <xf numFmtId="3" fontId="4" fillId="0" borderId="6" xfId="0" applyNumberFormat="1" applyFont="1" applyBorder="1"/>
    <xf numFmtId="0" fontId="6" fillId="0" borderId="5" xfId="22" applyFont="1" applyFill="1" applyBorder="1" applyAlignment="1">
      <alignment horizontal="left" wrapText="1"/>
    </xf>
    <xf numFmtId="0" fontId="4" fillId="0" borderId="9" xfId="18" applyFont="1" applyFill="1" applyBorder="1" applyAlignment="1">
      <alignment horizontal="left" vertical="center" wrapText="1"/>
    </xf>
    <xf numFmtId="0" fontId="4" fillId="0" borderId="5" xfId="18" applyFont="1" applyFill="1" applyBorder="1" applyAlignment="1">
      <alignment horizontal="left" vertical="center" wrapText="1"/>
    </xf>
    <xf numFmtId="0" fontId="8" fillId="0" borderId="7" xfId="0" applyFont="1" applyBorder="1"/>
    <xf numFmtId="3" fontId="4" fillId="0" borderId="12" xfId="0" applyNumberFormat="1" applyFont="1" applyBorder="1"/>
    <xf numFmtId="3" fontId="4" fillId="0" borderId="0" xfId="0" applyNumberFormat="1" applyFont="1" applyBorder="1"/>
    <xf numFmtId="3" fontId="4" fillId="0" borderId="9" xfId="0" applyNumberFormat="1" applyFont="1" applyBorder="1"/>
    <xf numFmtId="0" fontId="8" fillId="0" borderId="10" xfId="0" applyFont="1" applyBorder="1"/>
    <xf numFmtId="0" fontId="8" fillId="0" borderId="13" xfId="0" applyFont="1" applyBorder="1"/>
    <xf numFmtId="3" fontId="4" fillId="0" borderId="10" xfId="0" applyNumberFormat="1" applyFont="1" applyBorder="1"/>
    <xf numFmtId="3" fontId="4" fillId="0" borderId="13" xfId="0" applyNumberFormat="1" applyFont="1" applyBorder="1"/>
    <xf numFmtId="3" fontId="4" fillId="0" borderId="14" xfId="0" applyNumberFormat="1" applyFont="1" applyBorder="1"/>
    <xf numFmtId="164" fontId="4" fillId="0" borderId="12" xfId="0" applyNumberFormat="1" applyFont="1" applyBorder="1"/>
    <xf numFmtId="1" fontId="4" fillId="0" borderId="12" xfId="0" applyNumberFormat="1" applyFont="1" applyBorder="1"/>
    <xf numFmtId="164" fontId="4" fillId="0" borderId="0" xfId="0" applyNumberFormat="1" applyFont="1" applyBorder="1"/>
    <xf numFmtId="0" fontId="8" fillId="0" borderId="10" xfId="0" applyFont="1" applyBorder="1" applyAlignment="1">
      <alignment horizontal="right" wrapText="1"/>
    </xf>
    <xf numFmtId="0" fontId="8" fillId="0" borderId="13" xfId="0" applyFont="1" applyBorder="1" applyAlignment="1">
      <alignment horizontal="right" wrapText="1"/>
    </xf>
    <xf numFmtId="0" fontId="8" fillId="0" borderId="14" xfId="0" applyFont="1" applyBorder="1" applyAlignment="1">
      <alignment horizontal="right" wrapText="1"/>
    </xf>
    <xf numFmtId="164" fontId="4" fillId="0" borderId="8" xfId="0" applyNumberFormat="1" applyFont="1" applyBorder="1"/>
    <xf numFmtId="164" fontId="4" fillId="0" borderId="11" xfId="0" applyNumberFormat="1" applyFont="1" applyBorder="1"/>
    <xf numFmtId="164" fontId="4" fillId="0" borderId="15" xfId="0" applyNumberFormat="1" applyFont="1" applyBorder="1"/>
    <xf numFmtId="164" fontId="4" fillId="0" borderId="9" xfId="0" applyNumberFormat="1" applyFont="1" applyBorder="1"/>
    <xf numFmtId="164" fontId="4" fillId="0" borderId="10" xfId="0" applyNumberFormat="1" applyFont="1" applyBorder="1"/>
    <xf numFmtId="164" fontId="4" fillId="0" borderId="13" xfId="0" applyNumberFormat="1" applyFont="1" applyBorder="1"/>
    <xf numFmtId="164" fontId="4" fillId="0" borderId="14" xfId="0" applyNumberFormat="1" applyFont="1" applyBorder="1"/>
    <xf numFmtId="0" fontId="4" fillId="0" borderId="10" xfId="18" applyFont="1" applyFill="1" applyBorder="1" applyAlignment="1">
      <alignment horizontal="left" vertical="center" wrapText="1"/>
    </xf>
    <xf numFmtId="1" fontId="4" fillId="0" borderId="14" xfId="0" applyNumberFormat="1" applyFont="1" applyBorder="1"/>
    <xf numFmtId="3" fontId="4" fillId="0" borderId="1" xfId="22" applyNumberFormat="1" applyFont="1" applyFill="1" applyBorder="1" applyAlignment="1">
      <alignment vertical="center"/>
    </xf>
    <xf numFmtId="0" fontId="8" fillId="0" borderId="14" xfId="0" applyFont="1" applyBorder="1"/>
    <xf numFmtId="3" fontId="4" fillId="0" borderId="2" xfId="22" applyNumberFormat="1" applyFont="1" applyFill="1" applyBorder="1" applyAlignment="1">
      <alignment horizontal="right" vertical="center" wrapText="1"/>
    </xf>
    <xf numFmtId="3" fontId="4" fillId="0" borderId="2" xfId="18" applyNumberFormat="1" applyFont="1" applyFill="1" applyBorder="1" applyAlignment="1">
      <alignment horizontal="right"/>
    </xf>
    <xf numFmtId="3" fontId="4" fillId="0" borderId="4" xfId="18" applyNumberFormat="1" applyFont="1" applyFill="1" applyBorder="1" applyAlignment="1">
      <alignment horizontal="right"/>
    </xf>
    <xf numFmtId="3" fontId="4" fillId="0" borderId="4" xfId="22" applyNumberFormat="1" applyFont="1" applyFill="1" applyBorder="1" applyAlignment="1">
      <alignment horizontal="right" vertical="center"/>
    </xf>
    <xf numFmtId="3" fontId="4" fillId="0" borderId="0" xfId="22" applyNumberFormat="1" applyFont="1" applyFill="1" applyBorder="1" applyAlignment="1">
      <alignment horizontal="right" vertical="center"/>
    </xf>
    <xf numFmtId="3" fontId="4" fillId="0" borderId="8" xfId="18" applyNumberFormat="1" applyFont="1" applyBorder="1" applyAlignment="1">
      <alignment horizontal="right"/>
    </xf>
    <xf numFmtId="165" fontId="4" fillId="0" borderId="8" xfId="18" applyNumberFormat="1" applyFont="1" applyBorder="1" applyAlignment="1">
      <alignment horizontal="right"/>
    </xf>
    <xf numFmtId="3" fontId="4" fillId="0" borderId="3" xfId="18" applyNumberFormat="1" applyFont="1" applyBorder="1" applyAlignment="1">
      <alignment horizontal="right"/>
    </xf>
    <xf numFmtId="3" fontId="4" fillId="0" borderId="9" xfId="18" applyNumberFormat="1" applyFont="1" applyBorder="1" applyAlignment="1">
      <alignment horizontal="right"/>
    </xf>
    <xf numFmtId="3" fontId="4" fillId="0" borderId="2" xfId="18" applyNumberFormat="1" applyFont="1" applyBorder="1" applyAlignment="1">
      <alignment horizontal="right"/>
    </xf>
    <xf numFmtId="3" fontId="4" fillId="0" borderId="5" xfId="18" applyNumberFormat="1" applyFont="1" applyBorder="1" applyAlignment="1">
      <alignment horizontal="right"/>
    </xf>
    <xf numFmtId="3" fontId="4" fillId="0" borderId="4" xfId="18" applyNumberFormat="1" applyFont="1" applyBorder="1" applyAlignment="1">
      <alignment horizontal="right"/>
    </xf>
    <xf numFmtId="3" fontId="4" fillId="0" borderId="10" xfId="18" applyNumberFormat="1" applyFont="1" applyBorder="1" applyAlignment="1">
      <alignment horizontal="right"/>
    </xf>
    <xf numFmtId="3" fontId="4" fillId="0" borderId="1" xfId="18" applyNumberFormat="1" applyFont="1" applyBorder="1" applyAlignment="1">
      <alignment horizontal="right"/>
    </xf>
    <xf numFmtId="0" fontId="9" fillId="0" borderId="0" xfId="22" applyFont="1" applyFill="1" applyAlignment="1"/>
    <xf numFmtId="0" fontId="14" fillId="0" borderId="0" xfId="22" applyFont="1" applyFill="1" applyAlignment="1">
      <alignment horizontal="center"/>
    </xf>
    <xf numFmtId="0" fontId="2" fillId="0" borderId="8" xfId="22" applyFont="1" applyFill="1" applyBorder="1" applyAlignment="1">
      <alignment horizontal="center"/>
    </xf>
    <xf numFmtId="10" fontId="2" fillId="0" borderId="3" xfId="26" applyNumberFormat="1" applyFont="1" applyFill="1" applyBorder="1" applyAlignment="1">
      <alignment horizontal="center"/>
    </xf>
    <xf numFmtId="0" fontId="2" fillId="0" borderId="15" xfId="22" applyFont="1" applyFill="1" applyBorder="1" applyAlignment="1">
      <alignment horizontal="center"/>
    </xf>
    <xf numFmtId="0" fontId="2" fillId="0" borderId="9" xfId="22" applyFont="1" applyFill="1" applyBorder="1" applyAlignment="1">
      <alignment horizontal="center"/>
    </xf>
    <xf numFmtId="10" fontId="2" fillId="0" borderId="2" xfId="26" applyNumberFormat="1" applyFont="1" applyFill="1" applyBorder="1" applyAlignment="1">
      <alignment horizontal="center"/>
    </xf>
    <xf numFmtId="0" fontId="2" fillId="0" borderId="12" xfId="22" applyFont="1" applyFill="1" applyBorder="1" applyAlignment="1">
      <alignment horizontal="center"/>
    </xf>
    <xf numFmtId="3" fontId="4" fillId="0" borderId="12" xfId="0" applyNumberFormat="1" applyFont="1" applyBorder="1" applyAlignment="1">
      <alignment horizontal="right" wrapText="1"/>
    </xf>
    <xf numFmtId="0" fontId="10" fillId="0" borderId="12" xfId="12" applyFont="1" applyFill="1" applyBorder="1" applyAlignment="1">
      <alignment horizontal="left" vertical="center" wrapText="1"/>
    </xf>
    <xf numFmtId="0" fontId="2" fillId="0" borderId="2" xfId="22" applyFont="1" applyFill="1" applyBorder="1" applyAlignment="1">
      <alignment horizontal="center"/>
    </xf>
    <xf numFmtId="0" fontId="2" fillId="0" borderId="10" xfId="22" applyFont="1" applyFill="1" applyBorder="1" applyAlignment="1">
      <alignment horizontal="center"/>
    </xf>
    <xf numFmtId="0" fontId="2" fillId="0" borderId="1" xfId="22" applyFont="1" applyFill="1" applyBorder="1" applyAlignment="1">
      <alignment horizontal="center"/>
    </xf>
    <xf numFmtId="0" fontId="2" fillId="0" borderId="14" xfId="22" applyFont="1" applyFill="1" applyBorder="1" applyAlignment="1">
      <alignment horizontal="center"/>
    </xf>
    <xf numFmtId="0" fontId="4" fillId="0" borderId="9" xfId="22" applyFont="1" applyFill="1" applyBorder="1" applyAlignment="1">
      <alignment wrapText="1"/>
    </xf>
    <xf numFmtId="0" fontId="2" fillId="0" borderId="13" xfId="22" applyFont="1" applyFill="1" applyBorder="1" applyAlignment="1">
      <alignment horizontal="center"/>
    </xf>
    <xf numFmtId="0" fontId="10" fillId="0" borderId="13" xfId="12" applyFont="1" applyFill="1" applyBorder="1" applyAlignment="1">
      <alignment horizontal="left" vertical="center" wrapText="1"/>
    </xf>
    <xf numFmtId="0" fontId="10" fillId="0" borderId="14" xfId="12" applyFont="1" applyFill="1" applyBorder="1" applyAlignment="1">
      <alignment horizontal="left" vertical="center" wrapText="1"/>
    </xf>
    <xf numFmtId="3" fontId="4" fillId="3" borderId="2" xfId="22" applyNumberFormat="1" applyFont="1" applyFill="1" applyBorder="1" applyAlignment="1">
      <alignment vertical="center" wrapText="1"/>
    </xf>
    <xf numFmtId="3" fontId="4" fillId="4" borderId="2" xfId="22" applyNumberFormat="1" applyFont="1" applyFill="1" applyBorder="1" applyAlignment="1">
      <alignment vertical="center" wrapText="1"/>
    </xf>
    <xf numFmtId="3" fontId="4" fillId="4" borderId="12" xfId="0" applyNumberFormat="1" applyFont="1" applyFill="1" applyBorder="1" applyAlignment="1">
      <alignment horizontal="right" wrapText="1"/>
    </xf>
    <xf numFmtId="0" fontId="4" fillId="3" borderId="12" xfId="0" applyFont="1" applyFill="1" applyBorder="1" applyAlignment="1">
      <alignment horizontal="right" wrapText="1"/>
    </xf>
    <xf numFmtId="3" fontId="4" fillId="3" borderId="12" xfId="0" applyNumberFormat="1" applyFont="1" applyFill="1" applyBorder="1" applyAlignment="1">
      <alignment horizontal="right" wrapText="1"/>
    </xf>
    <xf numFmtId="3" fontId="4" fillId="6" borderId="2" xfId="22" applyNumberFormat="1" applyFont="1" applyFill="1" applyBorder="1" applyAlignment="1">
      <alignment vertical="center" wrapText="1"/>
    </xf>
    <xf numFmtId="0" fontId="15" fillId="0" borderId="0" xfId="22" applyFont="1" applyFill="1" applyBorder="1" applyAlignment="1">
      <alignment horizontal="left"/>
    </xf>
    <xf numFmtId="0" fontId="4" fillId="0" borderId="11" xfId="22" applyFont="1" applyFill="1" applyBorder="1" applyAlignment="1">
      <alignment horizontal="center"/>
    </xf>
    <xf numFmtId="166" fontId="4" fillId="6" borderId="15" xfId="25" applyNumberFormat="1" applyFont="1" applyFill="1" applyBorder="1" applyAlignment="1">
      <alignment horizontal="center"/>
    </xf>
    <xf numFmtId="0" fontId="4" fillId="0" borderId="0" xfId="22" applyFont="1" applyFill="1" applyBorder="1" applyAlignment="1">
      <alignment horizontal="center"/>
    </xf>
    <xf numFmtId="0" fontId="6" fillId="0" borderId="0" xfId="12" applyFont="1" applyFill="1" applyBorder="1" applyAlignment="1">
      <alignment horizontal="left" vertical="center" wrapText="1"/>
    </xf>
    <xf numFmtId="0" fontId="6" fillId="0" borderId="12" xfId="12" applyFont="1" applyFill="1" applyBorder="1" applyAlignment="1">
      <alignment horizontal="left" vertical="center" wrapText="1"/>
    </xf>
    <xf numFmtId="166" fontId="4" fillId="0" borderId="0" xfId="1" applyNumberFormat="1" applyFont="1" applyFill="1" applyBorder="1" applyAlignment="1">
      <alignment horizontal="right"/>
    </xf>
    <xf numFmtId="0" fontId="4" fillId="0" borderId="0" xfId="12" applyFont="1" applyFill="1" applyBorder="1" applyAlignment="1">
      <alignment horizontal="left" vertical="center" wrapText="1"/>
    </xf>
    <xf numFmtId="0" fontId="4" fillId="0" borderId="12" xfId="12" applyFont="1" applyFill="1" applyBorder="1" applyAlignment="1">
      <alignment horizontal="left" vertical="center" wrapText="1"/>
    </xf>
    <xf numFmtId="3" fontId="4" fillId="4" borderId="0" xfId="12" applyNumberFormat="1" applyFont="1" applyFill="1" applyBorder="1" applyAlignment="1">
      <alignment horizontal="left" vertical="center" wrapText="1"/>
    </xf>
    <xf numFmtId="166" fontId="4" fillId="6" borderId="12" xfId="25" applyNumberFormat="1" applyFont="1" applyFill="1" applyBorder="1" applyAlignment="1">
      <alignment horizontal="right" wrapText="1"/>
    </xf>
    <xf numFmtId="0" fontId="2" fillId="0" borderId="5" xfId="22" applyFont="1" applyFill="1" applyBorder="1" applyAlignment="1">
      <alignment horizontal="center"/>
    </xf>
    <xf numFmtId="0" fontId="4" fillId="3" borderId="0" xfId="12" applyFont="1" applyFill="1" applyBorder="1" applyAlignment="1">
      <alignment horizontal="left" vertical="center" wrapText="1"/>
    </xf>
    <xf numFmtId="0" fontId="15" fillId="0" borderId="0" xfId="22" applyFont="1" applyFill="1" applyBorder="1" applyAlignment="1">
      <alignment horizontal="center"/>
    </xf>
    <xf numFmtId="0" fontId="15" fillId="0" borderId="0" xfId="22" applyFont="1" applyFill="1" applyAlignment="1">
      <alignment horizontal="center"/>
    </xf>
    <xf numFmtId="0" fontId="4" fillId="0" borderId="9" xfId="22" applyFont="1" applyFill="1" applyBorder="1" applyAlignment="1">
      <alignment horizontal="left" wrapText="1"/>
    </xf>
    <xf numFmtId="0" fontId="4" fillId="0" borderId="5" xfId="22" applyFont="1" applyFill="1" applyBorder="1" applyAlignment="1">
      <alignment horizontal="left" wrapText="1"/>
    </xf>
    <xf numFmtId="0" fontId="10" fillId="0" borderId="13" xfId="12" applyFont="1" applyFill="1" applyBorder="1" applyAlignment="1">
      <alignment horizontal="right" vertical="center" wrapText="1"/>
    </xf>
    <xf numFmtId="10" fontId="4" fillId="0" borderId="8" xfId="26" applyNumberFormat="1" applyFont="1" applyFill="1" applyBorder="1" applyAlignment="1">
      <alignment horizontal="center"/>
    </xf>
    <xf numFmtId="10" fontId="4" fillId="0" borderId="9" xfId="26" applyNumberFormat="1" applyFont="1" applyFill="1" applyBorder="1" applyAlignment="1">
      <alignment horizontal="center"/>
    </xf>
    <xf numFmtId="0" fontId="4" fillId="0" borderId="0" xfId="22" applyFont="1" applyFill="1" applyBorder="1" applyAlignment="1">
      <alignment horizontal="right"/>
    </xf>
    <xf numFmtId="3" fontId="4" fillId="0" borderId="0" xfId="22" applyNumberFormat="1" applyFont="1" applyFill="1" applyBorder="1" applyAlignment="1">
      <alignment horizontal="right"/>
    </xf>
    <xf numFmtId="0" fontId="4" fillId="0" borderId="10" xfId="22" applyFont="1" applyFill="1" applyBorder="1" applyAlignment="1">
      <alignment horizontal="center"/>
    </xf>
    <xf numFmtId="0" fontId="4" fillId="0" borderId="13" xfId="22" applyFont="1" applyFill="1" applyBorder="1" applyAlignment="1">
      <alignment horizontal="right"/>
    </xf>
    <xf numFmtId="0" fontId="4" fillId="0" borderId="8" xfId="22" applyFont="1" applyFill="1" applyBorder="1" applyAlignment="1">
      <alignment horizontal="center"/>
    </xf>
    <xf numFmtId="0" fontId="4" fillId="0" borderId="11" xfId="22" applyFont="1" applyFill="1" applyBorder="1" applyAlignment="1">
      <alignment horizontal="right"/>
    </xf>
    <xf numFmtId="0" fontId="4" fillId="0" borderId="9" xfId="22" applyFont="1" applyFill="1" applyBorder="1" applyAlignment="1">
      <alignment horizontal="center"/>
    </xf>
    <xf numFmtId="0" fontId="16" fillId="0" borderId="0" xfId="12" applyFont="1" applyFill="1" applyBorder="1" applyAlignment="1">
      <alignment horizontal="right" vertical="center" wrapText="1"/>
    </xf>
    <xf numFmtId="166" fontId="4" fillId="0" borderId="9" xfId="1" applyNumberFormat="1" applyFont="1" applyFill="1" applyBorder="1" applyAlignment="1">
      <alignment horizontal="center"/>
    </xf>
    <xf numFmtId="166" fontId="4" fillId="6" borderId="11" xfId="25" applyNumberFormat="1" applyFont="1" applyFill="1" applyBorder="1" applyAlignment="1">
      <alignment horizontal="center"/>
    </xf>
    <xf numFmtId="166" fontId="4" fillId="6" borderId="0" xfId="25" applyNumberFormat="1" applyFont="1" applyFill="1" applyBorder="1" applyAlignment="1">
      <alignment horizontal="right"/>
    </xf>
    <xf numFmtId="166" fontId="4" fillId="0" borderId="11" xfId="22" applyNumberFormat="1" applyFont="1" applyFill="1" applyBorder="1" applyAlignment="1">
      <alignment horizontal="right"/>
    </xf>
    <xf numFmtId="3" fontId="4" fillId="5" borderId="2" xfId="22" applyNumberFormat="1" applyFont="1" applyFill="1" applyBorder="1" applyAlignment="1">
      <alignment vertical="center" wrapText="1"/>
    </xf>
    <xf numFmtId="166" fontId="4" fillId="3" borderId="0" xfId="1" applyNumberFormat="1" applyFont="1" applyFill="1" applyBorder="1" applyAlignment="1">
      <alignment horizontal="right"/>
    </xf>
    <xf numFmtId="10" fontId="4" fillId="3" borderId="9" xfId="26" applyNumberFormat="1" applyFont="1" applyFill="1" applyBorder="1" applyAlignment="1">
      <alignment horizontal="center"/>
    </xf>
    <xf numFmtId="3" fontId="4" fillId="4" borderId="2" xfId="18" applyNumberFormat="1" applyFont="1" applyFill="1" applyBorder="1" applyAlignment="1"/>
    <xf numFmtId="3" fontId="4" fillId="7" borderId="2" xfId="22" applyNumberFormat="1" applyFont="1" applyFill="1" applyBorder="1" applyAlignment="1">
      <alignment vertical="center" wrapText="1"/>
    </xf>
    <xf numFmtId="3" fontId="4" fillId="7" borderId="2" xfId="18" applyNumberFormat="1" applyFont="1" applyFill="1" applyBorder="1" applyAlignment="1"/>
    <xf numFmtId="3" fontId="4" fillId="8" borderId="2" xfId="22" applyNumberFormat="1" applyFont="1" applyFill="1" applyBorder="1" applyAlignment="1">
      <alignment vertical="center" wrapText="1"/>
    </xf>
    <xf numFmtId="3" fontId="4" fillId="8" borderId="2" xfId="18" applyNumberFormat="1" applyFont="1" applyFill="1" applyBorder="1" applyAlignment="1"/>
    <xf numFmtId="3" fontId="4" fillId="8" borderId="0" xfId="22" applyNumberFormat="1" applyFont="1" applyFill="1" applyBorder="1" applyAlignment="1">
      <alignment horizontal="right"/>
    </xf>
    <xf numFmtId="10" fontId="4" fillId="8" borderId="9" xfId="26" applyNumberFormat="1" applyFont="1" applyFill="1" applyBorder="1" applyAlignment="1">
      <alignment horizontal="center"/>
    </xf>
    <xf numFmtId="3" fontId="4" fillId="4" borderId="4" xfId="18" applyNumberFormat="1" applyFont="1" applyFill="1" applyBorder="1" applyAlignment="1"/>
    <xf numFmtId="10" fontId="4" fillId="4" borderId="9" xfId="26" applyNumberFormat="1" applyFont="1" applyFill="1" applyBorder="1" applyAlignment="1">
      <alignment horizontal="center"/>
    </xf>
    <xf numFmtId="3" fontId="4" fillId="4" borderId="0" xfId="22" applyNumberFormat="1" applyFont="1" applyFill="1" applyBorder="1" applyAlignment="1">
      <alignment horizontal="right"/>
    </xf>
    <xf numFmtId="3" fontId="4" fillId="7" borderId="0" xfId="22" applyNumberFormat="1" applyFont="1" applyFill="1" applyBorder="1" applyAlignment="1">
      <alignment horizontal="right"/>
    </xf>
    <xf numFmtId="3" fontId="4" fillId="9" borderId="2" xfId="22" applyNumberFormat="1" applyFont="1" applyFill="1" applyBorder="1" applyAlignment="1">
      <alignment vertical="center" wrapText="1"/>
    </xf>
    <xf numFmtId="166" fontId="4" fillId="5" borderId="0" xfId="25" applyNumberFormat="1" applyFont="1" applyFill="1" applyBorder="1" applyAlignment="1">
      <alignment horizontal="center"/>
    </xf>
    <xf numFmtId="166" fontId="4" fillId="0" borderId="0" xfId="25" applyNumberFormat="1" applyFont="1" applyFill="1" applyBorder="1" applyAlignment="1">
      <alignment horizontal="center"/>
    </xf>
    <xf numFmtId="0" fontId="16" fillId="0" borderId="0" xfId="12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6" fillId="0" borderId="3" xfId="22" applyFont="1" applyFill="1" applyBorder="1" applyAlignment="1">
      <alignment horizontal="right" wrapText="1"/>
    </xf>
    <xf numFmtId="3" fontId="4" fillId="9" borderId="15" xfId="26" applyNumberFormat="1" applyFont="1" applyFill="1" applyBorder="1" applyAlignment="1">
      <alignment vertical="center" wrapText="1"/>
    </xf>
    <xf numFmtId="3" fontId="4" fillId="9" borderId="12" xfId="26" applyNumberFormat="1" applyFont="1" applyFill="1" applyBorder="1" applyAlignment="1">
      <alignment vertical="center" wrapText="1"/>
    </xf>
    <xf numFmtId="0" fontId="4" fillId="0" borderId="13" xfId="22" applyFont="1" applyFill="1" applyBorder="1" applyAlignment="1">
      <alignment horizontal="center"/>
    </xf>
    <xf numFmtId="166" fontId="4" fillId="0" borderId="11" xfId="22" applyNumberFormat="1" applyFont="1" applyFill="1" applyBorder="1" applyAlignment="1">
      <alignment horizontal="center"/>
    </xf>
    <xf numFmtId="3" fontId="2" fillId="0" borderId="15" xfId="22" applyNumberFormat="1" applyFont="1" applyFill="1" applyBorder="1" applyAlignment="1">
      <alignment horizontal="center"/>
    </xf>
    <xf numFmtId="165" fontId="2" fillId="0" borderId="0" xfId="0" applyNumberFormat="1" applyFont="1"/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</cellXfs>
  <cellStyles count="27">
    <cellStyle name="1000-sep (2 dec)" xfId="25" builtinId="3"/>
    <cellStyle name="1000-sep (2 dec) 10" xfId="1"/>
    <cellStyle name="1000-sep (2 dec) 12" xfId="2"/>
    <cellStyle name="1000-sep (2 dec) 14" xfId="3"/>
    <cellStyle name="1000-sep (2 dec) 16" xfId="4"/>
    <cellStyle name="1000-sep (2 dec) 2" xfId="5"/>
    <cellStyle name="1000-sep (2 dec) 3" xfId="6"/>
    <cellStyle name="1000-sep (2 dec) 4" xfId="7"/>
    <cellStyle name="1000-sep (2 dec) 5" xfId="8"/>
    <cellStyle name="1000-sep (2 dec) 6" xfId="9"/>
    <cellStyle name="1000-sep (2 dec) 7" xfId="10"/>
    <cellStyle name="1000-sep (2 dec) 8" xfId="11"/>
    <cellStyle name="Normal" xfId="0" builtinId="0"/>
    <cellStyle name="Normal 10" xfId="12"/>
    <cellStyle name="Normal 12" xfId="13"/>
    <cellStyle name="Normal 2" xfId="14"/>
    <cellStyle name="Normal 2 3" xfId="15"/>
    <cellStyle name="Normal 22" xfId="16"/>
    <cellStyle name="Normal 26" xfId="17"/>
    <cellStyle name="Normal 3" xfId="18"/>
    <cellStyle name="Normal 7" xfId="19"/>
    <cellStyle name="Normal 8" xfId="20"/>
    <cellStyle name="Normal 9" xfId="21"/>
    <cellStyle name="Normal_2008-29-05_DTD" xfId="22"/>
    <cellStyle name="Normal_pv05_23-05-07" xfId="23"/>
    <cellStyle name="Normal_pv06_23-05-07" xfId="24"/>
    <cellStyle name="Procent" xfId="2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3"/>
  <sheetViews>
    <sheetView zoomScaleNormal="100" zoomScaleSheetLayoutView="100" workbookViewId="0">
      <selection activeCell="B50" sqref="B50"/>
    </sheetView>
  </sheetViews>
  <sheetFormatPr defaultRowHeight="12"/>
  <cols>
    <col min="1" max="1" width="8.5703125" style="6" customWidth="1"/>
    <col min="2" max="2" width="39.28515625" style="6" customWidth="1"/>
    <col min="3" max="9" width="10" style="7" customWidth="1"/>
    <col min="10" max="10" width="19.28515625" style="7" customWidth="1"/>
    <col min="11" max="11" width="9.140625" style="6"/>
    <col min="12" max="12" width="11.42578125" style="6" customWidth="1"/>
    <col min="13" max="13" width="9.7109375" style="6" bestFit="1" customWidth="1"/>
    <col min="14" max="14" width="8.5703125" style="6" customWidth="1"/>
    <col min="15" max="15" width="9.140625" style="6"/>
    <col min="16" max="16" width="12" style="6" customWidth="1"/>
    <col min="17" max="17" width="9.140625" style="167"/>
    <col min="18" max="16384" width="9.140625" style="6"/>
  </cols>
  <sheetData>
    <row r="1" spans="1:18" ht="15.75">
      <c r="A1" s="129" t="s">
        <v>99</v>
      </c>
      <c r="F1" s="51" t="s">
        <v>66</v>
      </c>
      <c r="H1" s="7">
        <v>1.038</v>
      </c>
      <c r="N1" s="3"/>
      <c r="O1" s="3"/>
      <c r="P1" s="3"/>
      <c r="Q1" s="166"/>
      <c r="R1" s="3"/>
    </row>
    <row r="2" spans="1:18" ht="13.5" customHeight="1">
      <c r="A2" s="80" t="s">
        <v>67</v>
      </c>
      <c r="E2" s="5"/>
      <c r="F2" s="5"/>
      <c r="G2" s="5"/>
      <c r="H2" s="4"/>
      <c r="I2" s="81"/>
      <c r="J2" s="4"/>
      <c r="N2" s="3"/>
      <c r="O2" s="3"/>
      <c r="P2" s="3"/>
      <c r="Q2" s="166"/>
      <c r="R2" s="3"/>
    </row>
    <row r="3" spans="1:18" ht="13.5" customHeight="1">
      <c r="A3" s="35" t="s">
        <v>59</v>
      </c>
      <c r="E3" s="5"/>
      <c r="F3" s="5"/>
      <c r="G3" s="5"/>
      <c r="H3" s="4"/>
      <c r="I3" s="5"/>
      <c r="J3" s="4"/>
      <c r="L3" s="130" t="s">
        <v>86</v>
      </c>
      <c r="N3" s="3"/>
      <c r="O3" s="3"/>
      <c r="P3" s="3"/>
      <c r="Q3" s="166"/>
      <c r="R3" s="3"/>
    </row>
    <row r="4" spans="1:18" ht="54" customHeight="1">
      <c r="A4" s="72" t="s">
        <v>22</v>
      </c>
      <c r="B4" s="72" t="s">
        <v>0</v>
      </c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12" t="s">
        <v>31</v>
      </c>
      <c r="L4" s="72"/>
      <c r="M4" s="12" t="s">
        <v>87</v>
      </c>
      <c r="N4" s="12" t="s">
        <v>88</v>
      </c>
      <c r="O4" s="12" t="s">
        <v>89</v>
      </c>
      <c r="P4" s="12" t="s">
        <v>90</v>
      </c>
      <c r="Q4" s="166"/>
      <c r="R4" s="3"/>
    </row>
    <row r="5" spans="1:18" ht="13.5" customHeight="1">
      <c r="A5" s="36">
        <v>1301</v>
      </c>
      <c r="B5" s="36" t="s">
        <v>1</v>
      </c>
      <c r="C5" s="37">
        <v>3856072.4280000003</v>
      </c>
      <c r="D5" s="152">
        <f>198375.294+P5</f>
        <v>206353.54575992376</v>
      </c>
      <c r="E5" s="37">
        <v>86607.606</v>
      </c>
      <c r="F5" s="37">
        <v>0</v>
      </c>
      <c r="G5" s="37">
        <v>21417.054</v>
      </c>
      <c r="H5" s="37">
        <v>-1550596.578</v>
      </c>
      <c r="I5" s="37">
        <v>-80632.877999999997</v>
      </c>
      <c r="J5" s="73">
        <f>SUM(C5:E5)-SUM(F5:I5)</f>
        <v>5758845.9817599244</v>
      </c>
      <c r="L5" s="131"/>
      <c r="M5" s="132"/>
      <c r="N5" s="133"/>
      <c r="O5" s="133"/>
      <c r="P5" s="163">
        <v>7978.2517599237744</v>
      </c>
      <c r="Q5" s="153"/>
      <c r="R5" s="3"/>
    </row>
    <row r="6" spans="1:18" ht="13.5" customHeight="1">
      <c r="A6" s="36">
        <v>1309</v>
      </c>
      <c r="B6" s="36" t="s">
        <v>2</v>
      </c>
      <c r="C6" s="37">
        <v>1444788.048</v>
      </c>
      <c r="D6" s="152">
        <f>39774.084+P6</f>
        <v>42763.364674028053</v>
      </c>
      <c r="E6" s="37">
        <v>31145.190000000002</v>
      </c>
      <c r="F6" s="37">
        <v>0</v>
      </c>
      <c r="G6" s="37">
        <v>4143.6959999999999</v>
      </c>
      <c r="H6" s="37">
        <v>64779.504000000001</v>
      </c>
      <c r="I6" s="37">
        <v>4914.93</v>
      </c>
      <c r="J6" s="73">
        <f t="shared" ref="J6:J36" si="0">SUM(C6:E6)-SUM(F6:I6)</f>
        <v>1444858.472674028</v>
      </c>
      <c r="L6" s="134"/>
      <c r="M6" s="135"/>
      <c r="N6" s="136"/>
      <c r="O6" s="136"/>
      <c r="P6" s="163">
        <v>2989.2806740280535</v>
      </c>
      <c r="Q6" s="166"/>
      <c r="R6" s="3"/>
    </row>
    <row r="7" spans="1:18" ht="13.5" customHeight="1">
      <c r="A7" s="36">
        <v>1330</v>
      </c>
      <c r="B7" s="36" t="s">
        <v>3</v>
      </c>
      <c r="C7" s="37">
        <v>1798801.0620000002</v>
      </c>
      <c r="D7" s="152">
        <f>50465.484+P7</f>
        <v>54187.221080052128</v>
      </c>
      <c r="E7" s="37">
        <v>48214.061999999998</v>
      </c>
      <c r="F7" s="37">
        <v>0</v>
      </c>
      <c r="G7" s="37">
        <v>1068.1020000000001</v>
      </c>
      <c r="H7" s="37">
        <v>-15163.104000000001</v>
      </c>
      <c r="I7" s="37">
        <v>66937.506000000008</v>
      </c>
      <c r="J7" s="73">
        <f t="shared" si="0"/>
        <v>1848359.8410800523</v>
      </c>
      <c r="L7" s="134"/>
      <c r="M7" s="135"/>
      <c r="N7" s="136"/>
      <c r="O7" s="136"/>
      <c r="P7" s="163">
        <v>3721.7370800521321</v>
      </c>
      <c r="Q7" s="166"/>
      <c r="R7" s="3"/>
    </row>
    <row r="8" spans="1:18" ht="13.5" customHeight="1">
      <c r="A8" s="36">
        <v>1351</v>
      </c>
      <c r="B8" s="36" t="s">
        <v>4</v>
      </c>
      <c r="C8" s="37">
        <v>533729.22</v>
      </c>
      <c r="D8" s="152">
        <f>13528.254+P8</f>
        <v>14632.545002904302</v>
      </c>
      <c r="E8" s="37">
        <v>11565.396000000001</v>
      </c>
      <c r="F8" s="37">
        <v>0</v>
      </c>
      <c r="G8" s="37">
        <v>748.39800000000002</v>
      </c>
      <c r="H8" s="37">
        <v>21561.335999999999</v>
      </c>
      <c r="I8" s="37">
        <v>4408.3860000000004</v>
      </c>
      <c r="J8" s="73">
        <f t="shared" si="0"/>
        <v>533209.04100290418</v>
      </c>
      <c r="L8" s="134"/>
      <c r="M8" s="135"/>
      <c r="N8" s="136"/>
      <c r="O8" s="136"/>
      <c r="P8" s="163">
        <v>1104.291002904301</v>
      </c>
      <c r="Q8" s="166"/>
      <c r="R8" s="3"/>
    </row>
    <row r="9" spans="1:18" ht="13.5" customHeight="1">
      <c r="A9" s="36">
        <v>1401</v>
      </c>
      <c r="B9" s="36" t="s">
        <v>5</v>
      </c>
      <c r="C9" s="37">
        <v>670141.10400000005</v>
      </c>
      <c r="D9" s="152">
        <f>18307.206+P9</f>
        <v>19693.734531871563</v>
      </c>
      <c r="E9" s="37">
        <v>14521.62</v>
      </c>
      <c r="F9" s="37">
        <v>0</v>
      </c>
      <c r="G9" s="37">
        <v>0</v>
      </c>
      <c r="H9" s="37">
        <v>12669.828</v>
      </c>
      <c r="I9" s="37">
        <v>-3492.87</v>
      </c>
      <c r="J9" s="73">
        <f t="shared" si="0"/>
        <v>695179.50053187157</v>
      </c>
      <c r="L9" s="134"/>
      <c r="M9" s="135"/>
      <c r="N9" s="136"/>
      <c r="O9" s="136"/>
      <c r="P9" s="163">
        <v>1386.5285318715651</v>
      </c>
      <c r="Q9" s="166"/>
      <c r="R9" s="3"/>
    </row>
    <row r="10" spans="1:18" ht="13.5" customHeight="1">
      <c r="A10" s="36">
        <v>1501</v>
      </c>
      <c r="B10" s="36" t="s">
        <v>6</v>
      </c>
      <c r="C10" s="37">
        <v>1218461.49</v>
      </c>
      <c r="D10" s="152">
        <f>35705.124+P10</f>
        <v>38226.132800665568</v>
      </c>
      <c r="E10" s="37">
        <v>26403.606</v>
      </c>
      <c r="F10" s="37">
        <v>2729.94</v>
      </c>
      <c r="G10" s="37">
        <v>3644.4180000000001</v>
      </c>
      <c r="H10" s="37">
        <v>-34740.822</v>
      </c>
      <c r="I10" s="37">
        <v>38376.936000000002</v>
      </c>
      <c r="J10" s="73">
        <f t="shared" si="0"/>
        <v>1273080.7568006653</v>
      </c>
      <c r="L10" s="134"/>
      <c r="M10" s="135"/>
      <c r="N10" s="136"/>
      <c r="O10" s="136"/>
      <c r="P10" s="163">
        <v>2521.0088006655678</v>
      </c>
      <c r="Q10" s="166"/>
      <c r="R10" s="3"/>
    </row>
    <row r="11" spans="1:18" ht="13.5" customHeight="1">
      <c r="A11" s="36">
        <v>1502</v>
      </c>
      <c r="B11" s="36" t="s">
        <v>7</v>
      </c>
      <c r="C11" s="37">
        <v>1441971.9540000001</v>
      </c>
      <c r="D11" s="152">
        <f>39511.47+P11</f>
        <v>42494.924147858976</v>
      </c>
      <c r="E11" s="37">
        <v>31255.218000000001</v>
      </c>
      <c r="F11" s="37">
        <v>2673.8879999999999</v>
      </c>
      <c r="G11" s="37">
        <v>0</v>
      </c>
      <c r="H11" s="37">
        <v>-29343.222000000002</v>
      </c>
      <c r="I11" s="37">
        <v>-63080.298000000003</v>
      </c>
      <c r="J11" s="73">
        <f t="shared" si="0"/>
        <v>1605471.7281478592</v>
      </c>
      <c r="L11" s="134"/>
      <c r="M11" s="135"/>
      <c r="N11" s="136"/>
      <c r="O11" s="136"/>
      <c r="P11" s="163">
        <v>2983.4541478589736</v>
      </c>
      <c r="Q11" s="166"/>
      <c r="R11" s="3"/>
    </row>
    <row r="12" spans="1:18" ht="13.5" customHeight="1">
      <c r="A12" s="36">
        <v>1516</v>
      </c>
      <c r="B12" s="36" t="s">
        <v>8</v>
      </c>
      <c r="C12" s="37">
        <v>2506410.852</v>
      </c>
      <c r="D12" s="152">
        <f>100813.674+P12</f>
        <v>105999.46269158654</v>
      </c>
      <c r="E12" s="37">
        <v>54313.35</v>
      </c>
      <c r="F12" s="37">
        <v>1653.5340000000001</v>
      </c>
      <c r="G12" s="37">
        <v>9793.5300000000007</v>
      </c>
      <c r="H12" s="37">
        <v>-40324.224000000002</v>
      </c>
      <c r="I12" s="37">
        <v>34108.68</v>
      </c>
      <c r="J12" s="73">
        <f t="shared" si="0"/>
        <v>2661492.1446915865</v>
      </c>
      <c r="L12" s="134"/>
      <c r="M12" s="135"/>
      <c r="N12" s="136"/>
      <c r="O12" s="136"/>
      <c r="P12" s="163">
        <v>5185.7886915865383</v>
      </c>
      <c r="Q12" s="166"/>
      <c r="R12" s="3"/>
    </row>
    <row r="13" spans="1:18" ht="13.5" customHeight="1">
      <c r="A13" s="36">
        <v>2000</v>
      </c>
      <c r="B13" s="36" t="s">
        <v>9</v>
      </c>
      <c r="C13" s="37">
        <v>2544754.5720000002</v>
      </c>
      <c r="D13" s="152">
        <f>78388.722+P13</f>
        <v>83653.84422519723</v>
      </c>
      <c r="E13" s="37">
        <v>45902.436000000002</v>
      </c>
      <c r="F13" s="37">
        <v>0</v>
      </c>
      <c r="G13" s="37">
        <v>978.83400000000006</v>
      </c>
      <c r="H13" s="37">
        <v>209878.41</v>
      </c>
      <c r="I13" s="37">
        <v>0</v>
      </c>
      <c r="J13" s="73">
        <f t="shared" si="0"/>
        <v>2463453.6082251975</v>
      </c>
      <c r="L13" s="134"/>
      <c r="M13" s="135"/>
      <c r="N13" s="136"/>
      <c r="O13" s="136"/>
      <c r="P13" s="163">
        <v>5265.1222251972367</v>
      </c>
      <c r="Q13" s="166"/>
      <c r="R13" s="3"/>
    </row>
    <row r="14" spans="1:18" ht="13.5" customHeight="1">
      <c r="A14" s="36">
        <v>4001</v>
      </c>
      <c r="B14" s="36" t="s">
        <v>11</v>
      </c>
      <c r="C14" s="37">
        <v>370154.95199999999</v>
      </c>
      <c r="D14" s="152">
        <f>7111.338+P14</f>
        <v>7877.1922344263503</v>
      </c>
      <c r="E14" s="37">
        <v>8020.6260000000002</v>
      </c>
      <c r="F14" s="37">
        <v>0</v>
      </c>
      <c r="G14" s="37">
        <v>581.28</v>
      </c>
      <c r="H14" s="37">
        <v>22981.32</v>
      </c>
      <c r="I14" s="37">
        <v>-1540.3920000000001</v>
      </c>
      <c r="J14" s="73">
        <f t="shared" si="0"/>
        <v>364030.56223442632</v>
      </c>
      <c r="L14" s="134"/>
      <c r="M14" s="135"/>
      <c r="N14" s="136"/>
      <c r="O14" s="136"/>
      <c r="P14" s="163">
        <v>765.8542344263509</v>
      </c>
      <c r="Q14" s="166"/>
      <c r="R14" s="3"/>
    </row>
    <row r="15" spans="1:18" ht="13.5" customHeight="1">
      <c r="A15" s="36">
        <v>2500</v>
      </c>
      <c r="B15" s="36" t="s">
        <v>10</v>
      </c>
      <c r="C15" s="37">
        <v>3194342.2379999999</v>
      </c>
      <c r="D15" s="37">
        <v>93524.838000000003</v>
      </c>
      <c r="E15" s="37">
        <v>89671.782000000007</v>
      </c>
      <c r="F15" s="37">
        <v>1216.5360000000001</v>
      </c>
      <c r="G15" s="37">
        <v>14114.724</v>
      </c>
      <c r="H15" s="37">
        <v>169388.106</v>
      </c>
      <c r="I15" s="37">
        <v>12082.32</v>
      </c>
      <c r="J15" s="73">
        <f t="shared" si="0"/>
        <v>3180737.1719999998</v>
      </c>
      <c r="L15" s="134"/>
      <c r="M15" s="135"/>
      <c r="N15" s="136"/>
      <c r="O15" s="136"/>
      <c r="P15" s="139"/>
      <c r="Q15" s="166"/>
      <c r="R15" s="3"/>
    </row>
    <row r="16" spans="1:18" ht="13.5" customHeight="1">
      <c r="A16" s="36">
        <v>2501</v>
      </c>
      <c r="B16" s="36" t="s">
        <v>56</v>
      </c>
      <c r="C16" s="37">
        <v>3161722.0500000003</v>
      </c>
      <c r="D16" s="37">
        <v>90590.411999999997</v>
      </c>
      <c r="E16" s="37">
        <v>86857.763999999996</v>
      </c>
      <c r="F16" s="37">
        <v>2565.9360000000001</v>
      </c>
      <c r="G16" s="37">
        <v>27365.832000000002</v>
      </c>
      <c r="H16" s="37">
        <v>160158.21</v>
      </c>
      <c r="I16" s="37">
        <v>-12082.32</v>
      </c>
      <c r="J16" s="73">
        <f t="shared" si="0"/>
        <v>3161162.5680000004</v>
      </c>
      <c r="L16" s="134"/>
      <c r="M16" s="135"/>
      <c r="N16" s="136"/>
      <c r="O16" s="136"/>
      <c r="P16" s="139"/>
      <c r="Q16" s="166"/>
      <c r="R16" s="3"/>
    </row>
    <row r="17" spans="1:18" ht="13.5" customHeight="1">
      <c r="A17" s="36">
        <v>4202</v>
      </c>
      <c r="B17" s="36" t="s">
        <v>12</v>
      </c>
      <c r="C17" s="37">
        <v>4113857.6520000002</v>
      </c>
      <c r="D17" s="148">
        <f>93883.986+N17</f>
        <v>82984.986000000004</v>
      </c>
      <c r="E17" s="37">
        <v>94074.978000000003</v>
      </c>
      <c r="F17" s="37">
        <v>13390.2</v>
      </c>
      <c r="G17" s="37">
        <v>79046.813999999998</v>
      </c>
      <c r="H17" s="37">
        <v>140235.87600000002</v>
      </c>
      <c r="I17" s="37">
        <v>17654.304</v>
      </c>
      <c r="J17" s="73">
        <f t="shared" si="0"/>
        <v>4040590.4220000003</v>
      </c>
      <c r="L17" s="134"/>
      <c r="M17" s="135">
        <v>0.38321167883211676</v>
      </c>
      <c r="N17" s="149">
        <f>M17*$M$41</f>
        <v>-10899</v>
      </c>
      <c r="O17" s="136"/>
      <c r="P17" s="139"/>
      <c r="Q17" s="166"/>
      <c r="R17" s="3"/>
    </row>
    <row r="18" spans="1:18" ht="13.5" customHeight="1">
      <c r="A18" s="36">
        <v>4212</v>
      </c>
      <c r="B18" s="36" t="s">
        <v>50</v>
      </c>
      <c r="C18" s="37">
        <v>1110266.598</v>
      </c>
      <c r="D18" s="148">
        <f>23716.224+N18</f>
        <v>20913.623999999996</v>
      </c>
      <c r="E18" s="37">
        <v>23763.972000000002</v>
      </c>
      <c r="F18" s="37">
        <v>2027.2140000000002</v>
      </c>
      <c r="G18" s="37">
        <v>16200.066000000001</v>
      </c>
      <c r="H18" s="37">
        <v>40842.186000000002</v>
      </c>
      <c r="I18" s="37">
        <v>-19439.664000000001</v>
      </c>
      <c r="J18" s="73">
        <f t="shared" si="0"/>
        <v>1115314.3920000002</v>
      </c>
      <c r="L18" s="134"/>
      <c r="M18" s="135">
        <v>9.8540145985401464E-2</v>
      </c>
      <c r="N18" s="149">
        <f t="shared" ref="N18:N23" si="1">M18*$M$41</f>
        <v>-2802.6000000000004</v>
      </c>
      <c r="O18" s="138"/>
      <c r="P18" s="139"/>
      <c r="Q18" s="166"/>
      <c r="R18" s="3"/>
    </row>
    <row r="19" spans="1:18" ht="13.5" customHeight="1">
      <c r="A19" s="36">
        <v>5000</v>
      </c>
      <c r="B19" s="36" t="s">
        <v>57</v>
      </c>
      <c r="C19" s="37">
        <v>1782548.058</v>
      </c>
      <c r="D19" s="148">
        <f>38630.208+N19</f>
        <v>34166.807999999997</v>
      </c>
      <c r="E19" s="37">
        <v>38708.058000000005</v>
      </c>
      <c r="F19" s="37">
        <v>0</v>
      </c>
      <c r="G19" s="37">
        <v>4191.4440000000004</v>
      </c>
      <c r="H19" s="37">
        <v>102093.52800000001</v>
      </c>
      <c r="I19" s="37">
        <v>3096.3540000000003</v>
      </c>
      <c r="J19" s="73">
        <f t="shared" si="0"/>
        <v>1746041.5979999998</v>
      </c>
      <c r="L19" s="134"/>
      <c r="M19" s="135">
        <v>0.15693430656934307</v>
      </c>
      <c r="N19" s="149">
        <f t="shared" si="1"/>
        <v>-4463.4000000000005</v>
      </c>
      <c r="O19" s="138"/>
      <c r="P19" s="139"/>
      <c r="Q19" s="166"/>
      <c r="R19" s="3"/>
    </row>
    <row r="20" spans="1:18" ht="13.5" customHeight="1">
      <c r="A20" s="36">
        <v>5501</v>
      </c>
      <c r="B20" s="36" t="s">
        <v>13</v>
      </c>
      <c r="C20" s="37">
        <v>1575829.32</v>
      </c>
      <c r="D20" s="148">
        <f>33984.12+N20</f>
        <v>30039.72</v>
      </c>
      <c r="E20" s="37">
        <v>34053.666000000005</v>
      </c>
      <c r="F20" s="37">
        <v>0</v>
      </c>
      <c r="G20" s="37">
        <v>1056.684</v>
      </c>
      <c r="H20" s="37">
        <v>74105.934000000008</v>
      </c>
      <c r="I20" s="37">
        <v>5163.0119999999997</v>
      </c>
      <c r="J20" s="73">
        <f t="shared" si="0"/>
        <v>1559597.0759999999</v>
      </c>
      <c r="L20" s="134"/>
      <c r="M20" s="135">
        <v>0.13868613138686131</v>
      </c>
      <c r="N20" s="149">
        <f t="shared" si="1"/>
        <v>-3944.4</v>
      </c>
      <c r="O20" s="138"/>
      <c r="P20" s="139"/>
      <c r="Q20" s="166"/>
      <c r="R20" s="3"/>
    </row>
    <row r="21" spans="1:18" ht="13.5" customHeight="1">
      <c r="A21" s="36">
        <v>6007</v>
      </c>
      <c r="B21" s="36" t="s">
        <v>14</v>
      </c>
      <c r="C21" s="37">
        <v>1145785.92</v>
      </c>
      <c r="D21" s="148">
        <f>24695.058+N21</f>
        <v>21788.657999999999</v>
      </c>
      <c r="E21" s="37">
        <v>24743.844000000001</v>
      </c>
      <c r="F21" s="37">
        <v>0</v>
      </c>
      <c r="G21" s="37">
        <v>2926.1220000000003</v>
      </c>
      <c r="H21" s="37">
        <v>49719.162000000004</v>
      </c>
      <c r="I21" s="37">
        <v>-31567.656000000003</v>
      </c>
      <c r="J21" s="73">
        <f t="shared" si="0"/>
        <v>1171240.794</v>
      </c>
      <c r="L21" s="134"/>
      <c r="M21" s="135">
        <v>0.10218978102189781</v>
      </c>
      <c r="N21" s="149">
        <f t="shared" si="1"/>
        <v>-2906.4</v>
      </c>
      <c r="O21" s="138"/>
      <c r="P21" s="139"/>
      <c r="Q21" s="166"/>
      <c r="R21" s="3"/>
    </row>
    <row r="22" spans="1:18" ht="13.5" customHeight="1">
      <c r="A22" s="36">
        <v>6008</v>
      </c>
      <c r="B22" s="36" t="s">
        <v>85</v>
      </c>
      <c r="C22" s="37">
        <v>1284752.3219999999</v>
      </c>
      <c r="D22" s="148">
        <f>28604.166+N22</f>
        <v>25282.566000000003</v>
      </c>
      <c r="E22" s="37">
        <v>28663.332000000002</v>
      </c>
      <c r="F22" s="37">
        <v>0</v>
      </c>
      <c r="G22" s="37">
        <v>4254.7619999999997</v>
      </c>
      <c r="H22" s="37">
        <v>106421.988</v>
      </c>
      <c r="I22" s="37">
        <v>64506.51</v>
      </c>
      <c r="J22" s="73">
        <f t="shared" si="0"/>
        <v>1163514.96</v>
      </c>
      <c r="L22" s="134"/>
      <c r="M22" s="135">
        <v>0.11678832116788321</v>
      </c>
      <c r="N22" s="149">
        <f t="shared" si="1"/>
        <v>-3321.6</v>
      </c>
      <c r="O22" s="136"/>
      <c r="P22" s="139"/>
      <c r="Q22" s="166"/>
      <c r="R22" s="3"/>
    </row>
    <row r="23" spans="1:18" ht="13.5" customHeight="1">
      <c r="A23" s="36">
        <v>6013</v>
      </c>
      <c r="B23" s="36" t="s">
        <v>73</v>
      </c>
      <c r="C23" s="37">
        <v>28049.182000000001</v>
      </c>
      <c r="D23" s="148">
        <f>773.656+N23</f>
        <v>669.85599999999999</v>
      </c>
      <c r="E23" s="37">
        <v>709.99200000000008</v>
      </c>
      <c r="F23" s="37">
        <v>0</v>
      </c>
      <c r="G23" s="37">
        <v>6.5739999999999998</v>
      </c>
      <c r="H23" s="37">
        <v>0</v>
      </c>
      <c r="I23" s="37">
        <v>-669.51</v>
      </c>
      <c r="J23" s="73">
        <f t="shared" si="0"/>
        <v>30091.966</v>
      </c>
      <c r="L23" s="134"/>
      <c r="M23" s="135">
        <v>3.6496350364963502E-3</v>
      </c>
      <c r="N23" s="149">
        <f t="shared" si="1"/>
        <v>-103.8</v>
      </c>
      <c r="O23" s="136"/>
      <c r="P23" s="139"/>
      <c r="Q23" s="166"/>
      <c r="R23" s="3"/>
    </row>
    <row r="24" spans="1:18" ht="13.5" customHeight="1">
      <c r="A24" s="36">
        <v>6014</v>
      </c>
      <c r="B24" s="36" t="s">
        <v>74</v>
      </c>
      <c r="C24" s="37">
        <v>56098.364000000001</v>
      </c>
      <c r="D24" s="37">
        <v>1547.3119999999999</v>
      </c>
      <c r="E24" s="147">
        <f>1419.984+O24</f>
        <v>999.98399999999992</v>
      </c>
      <c r="F24" s="37">
        <v>0</v>
      </c>
      <c r="G24" s="37">
        <v>13.148</v>
      </c>
      <c r="H24" s="37">
        <v>0</v>
      </c>
      <c r="I24" s="37">
        <v>-1339.02</v>
      </c>
      <c r="J24" s="73">
        <f t="shared" si="0"/>
        <v>59971.531999999999</v>
      </c>
      <c r="L24" s="134"/>
      <c r="M24" s="135"/>
      <c r="N24" s="137"/>
      <c r="O24" s="150">
        <v>-420</v>
      </c>
      <c r="P24" s="139"/>
      <c r="Q24" s="166"/>
      <c r="R24" s="3"/>
    </row>
    <row r="25" spans="1:18" ht="13.5" customHeight="1">
      <c r="A25" s="36">
        <v>6006</v>
      </c>
      <c r="B25" s="36" t="s">
        <v>51</v>
      </c>
      <c r="C25" s="37">
        <v>761474.72400000005</v>
      </c>
      <c r="D25" s="37">
        <v>51746.376000000004</v>
      </c>
      <c r="E25" s="147">
        <f>20920.89+O25</f>
        <v>15216.89</v>
      </c>
      <c r="F25" s="37">
        <v>1620.318</v>
      </c>
      <c r="G25" s="37">
        <v>427.65600000000001</v>
      </c>
      <c r="H25" s="37">
        <v>21621.54</v>
      </c>
      <c r="I25" s="37">
        <v>549.10199999999998</v>
      </c>
      <c r="J25" s="73">
        <f t="shared" si="0"/>
        <v>804219.37400000007</v>
      </c>
      <c r="L25" s="134"/>
      <c r="M25" s="135"/>
      <c r="N25" s="136"/>
      <c r="O25" s="151">
        <v>-5704</v>
      </c>
      <c r="P25" s="139"/>
      <c r="Q25" s="166"/>
      <c r="R25" s="3"/>
    </row>
    <row r="26" spans="1:18" ht="13.5" customHeight="1">
      <c r="A26" s="36">
        <v>6500</v>
      </c>
      <c r="B26" s="36" t="s">
        <v>15</v>
      </c>
      <c r="C26" s="37">
        <v>1931165.784</v>
      </c>
      <c r="D26" s="37">
        <v>57443.957999999999</v>
      </c>
      <c r="E26" s="147">
        <f>53774.628+O26</f>
        <v>39309.627999999997</v>
      </c>
      <c r="F26" s="37">
        <v>0</v>
      </c>
      <c r="G26" s="37">
        <v>11537.37</v>
      </c>
      <c r="H26" s="37">
        <v>112229.598</v>
      </c>
      <c r="I26" s="37">
        <v>2589.81</v>
      </c>
      <c r="J26" s="73">
        <f t="shared" si="0"/>
        <v>1901562.5920000002</v>
      </c>
      <c r="L26" s="134"/>
      <c r="M26" s="135"/>
      <c r="N26" s="136"/>
      <c r="O26" s="151">
        <v>-14465</v>
      </c>
      <c r="P26" s="139"/>
      <c r="Q26" s="166"/>
      <c r="R26" s="3"/>
    </row>
    <row r="27" spans="1:18" ht="13.5" customHeight="1">
      <c r="A27" s="36">
        <v>7002</v>
      </c>
      <c r="B27" s="36" t="s">
        <v>16</v>
      </c>
      <c r="C27" s="37">
        <v>645271.66200000001</v>
      </c>
      <c r="D27" s="37">
        <v>24895.392</v>
      </c>
      <c r="E27" s="147">
        <f>17848.41+O27</f>
        <v>13015.41</v>
      </c>
      <c r="F27" s="37">
        <v>2984.25</v>
      </c>
      <c r="G27" s="37">
        <v>410.01</v>
      </c>
      <c r="H27" s="37">
        <v>26615.358</v>
      </c>
      <c r="I27" s="37">
        <v>23915.52</v>
      </c>
      <c r="J27" s="73">
        <f t="shared" si="0"/>
        <v>629257.326</v>
      </c>
      <c r="L27" s="134"/>
      <c r="M27" s="135"/>
      <c r="N27" s="136"/>
      <c r="O27" s="151">
        <v>-4833</v>
      </c>
      <c r="P27" s="139"/>
      <c r="Q27" s="166"/>
      <c r="R27" s="3"/>
    </row>
    <row r="28" spans="1:18" ht="13.5" customHeight="1">
      <c r="A28" s="36">
        <v>7003</v>
      </c>
      <c r="B28" s="36" t="s">
        <v>17</v>
      </c>
      <c r="C28" s="37">
        <v>3366034.7039999999</v>
      </c>
      <c r="D28" s="37">
        <v>114410.436</v>
      </c>
      <c r="E28" s="147">
        <f>95913.276+O28</f>
        <v>70700.275999999998</v>
      </c>
      <c r="F28" s="37">
        <v>0</v>
      </c>
      <c r="G28" s="37">
        <v>2809.866</v>
      </c>
      <c r="H28" s="37">
        <v>167369.196</v>
      </c>
      <c r="I28" s="37">
        <v>-28751.562000000002</v>
      </c>
      <c r="J28" s="73">
        <f t="shared" si="0"/>
        <v>3409717.9160000002</v>
      </c>
      <c r="L28" s="134"/>
      <c r="M28" s="135"/>
      <c r="N28" s="136"/>
      <c r="O28" s="151">
        <v>-25213</v>
      </c>
      <c r="P28" s="139"/>
      <c r="Q28" s="166"/>
      <c r="R28" s="3"/>
    </row>
    <row r="29" spans="1:18" ht="13.5" customHeight="1">
      <c r="A29" s="36">
        <v>7005</v>
      </c>
      <c r="B29" s="36" t="s">
        <v>18</v>
      </c>
      <c r="C29" s="37">
        <v>994659.348</v>
      </c>
      <c r="D29" s="37">
        <v>41270.880000000005</v>
      </c>
      <c r="E29" s="147">
        <f>27044.052+O29</f>
        <v>19594.052</v>
      </c>
      <c r="F29" s="37">
        <v>6178.1760000000004</v>
      </c>
      <c r="G29" s="37">
        <v>545.98800000000006</v>
      </c>
      <c r="H29" s="37">
        <v>49285.277999999998</v>
      </c>
      <c r="I29" s="37">
        <v>-15829.5</v>
      </c>
      <c r="J29" s="73">
        <f t="shared" si="0"/>
        <v>1015344.338</v>
      </c>
      <c r="L29" s="134"/>
      <c r="M29" s="135"/>
      <c r="N29" s="136"/>
      <c r="O29" s="151">
        <v>-7450</v>
      </c>
      <c r="P29" s="139"/>
      <c r="Q29" s="166"/>
      <c r="R29" s="3"/>
    </row>
    <row r="30" spans="1:18" ht="13.5" customHeight="1">
      <c r="A30" s="36">
        <v>7026</v>
      </c>
      <c r="B30" s="36" t="s">
        <v>52</v>
      </c>
      <c r="C30" s="37">
        <v>1876437.2340000002</v>
      </c>
      <c r="D30" s="37">
        <v>79020.864000000001</v>
      </c>
      <c r="E30" s="147">
        <f>51367.506+O30</f>
        <v>120767.50599999999</v>
      </c>
      <c r="F30" s="37">
        <v>0</v>
      </c>
      <c r="G30" s="37">
        <v>1328.64</v>
      </c>
      <c r="H30" s="37">
        <v>86742.546000000002</v>
      </c>
      <c r="I30" s="37">
        <v>40848.414000000004</v>
      </c>
      <c r="J30" s="73">
        <f t="shared" si="0"/>
        <v>1947306.0040000002</v>
      </c>
      <c r="L30" s="134"/>
      <c r="M30" s="135"/>
      <c r="N30" s="136"/>
      <c r="O30" s="151">
        <v>69400</v>
      </c>
      <c r="P30" s="139"/>
      <c r="Q30" s="166"/>
      <c r="R30" s="3"/>
    </row>
    <row r="31" spans="1:18" ht="13.5" customHeight="1">
      <c r="A31" s="36">
        <v>7601</v>
      </c>
      <c r="B31" s="36" t="s">
        <v>53</v>
      </c>
      <c r="C31" s="37">
        <v>1510544.31</v>
      </c>
      <c r="D31" s="37">
        <v>25761.084000000003</v>
      </c>
      <c r="E31" s="147">
        <f>41668.434+O31</f>
        <v>30353.434000000001</v>
      </c>
      <c r="F31" s="37">
        <v>0</v>
      </c>
      <c r="G31" s="37">
        <v>4023.288</v>
      </c>
      <c r="H31" s="37">
        <v>63865.026000000005</v>
      </c>
      <c r="I31" s="37">
        <v>2915.7420000000002</v>
      </c>
      <c r="J31" s="73">
        <f t="shared" si="0"/>
        <v>1495854.7719999999</v>
      </c>
      <c r="L31" s="134"/>
      <c r="M31" s="135"/>
      <c r="N31" s="136"/>
      <c r="O31" s="151">
        <v>-11315</v>
      </c>
      <c r="P31" s="139"/>
      <c r="Q31" s="166"/>
      <c r="R31" s="3"/>
    </row>
    <row r="32" spans="1:18" ht="13.5" customHeight="1">
      <c r="A32" s="36">
        <v>7603</v>
      </c>
      <c r="B32" s="36" t="s">
        <v>19</v>
      </c>
      <c r="C32" s="37">
        <v>410353.57800000004</v>
      </c>
      <c r="D32" s="37">
        <v>18415.157999999999</v>
      </c>
      <c r="E32" s="37">
        <v>17133.227999999999</v>
      </c>
      <c r="F32" s="37">
        <v>0</v>
      </c>
      <c r="G32" s="37">
        <v>2736.1680000000001</v>
      </c>
      <c r="H32" s="37">
        <v>15176.598</v>
      </c>
      <c r="I32" s="37">
        <v>0</v>
      </c>
      <c r="J32" s="73">
        <f t="shared" si="0"/>
        <v>427989.19800000003</v>
      </c>
      <c r="L32" s="134"/>
      <c r="M32" s="139"/>
      <c r="N32" s="136"/>
      <c r="O32" s="136"/>
      <c r="P32" s="139"/>
      <c r="Q32" s="166"/>
      <c r="R32" s="3"/>
    </row>
    <row r="33" spans="1:18" ht="13.5" customHeight="1">
      <c r="A33" s="36">
        <v>8001</v>
      </c>
      <c r="B33" s="36" t="s">
        <v>54</v>
      </c>
      <c r="C33" s="37">
        <v>3103491</v>
      </c>
      <c r="D33" s="37">
        <v>123546.91200000001</v>
      </c>
      <c r="E33" s="37">
        <v>106523.712</v>
      </c>
      <c r="F33" s="37">
        <v>0</v>
      </c>
      <c r="G33" s="37">
        <v>24342.137999999999</v>
      </c>
      <c r="H33" s="37">
        <v>212826.33000000002</v>
      </c>
      <c r="I33" s="37">
        <v>60396.03</v>
      </c>
      <c r="J33" s="73">
        <f t="shared" si="0"/>
        <v>3035997.1259999997</v>
      </c>
      <c r="L33" s="134"/>
      <c r="M33" s="139"/>
      <c r="N33" s="136"/>
      <c r="O33" s="136"/>
      <c r="P33" s="139"/>
      <c r="Q33" s="166"/>
      <c r="R33" s="3"/>
    </row>
    <row r="34" spans="1:18" ht="13.5" customHeight="1">
      <c r="A34" s="36">
        <v>8003</v>
      </c>
      <c r="B34" s="36" t="s">
        <v>20</v>
      </c>
      <c r="C34" s="37">
        <v>890878.03200000001</v>
      </c>
      <c r="D34" s="37">
        <v>40328.376000000004</v>
      </c>
      <c r="E34" s="37">
        <v>37754.135999999999</v>
      </c>
      <c r="F34" s="37">
        <v>0</v>
      </c>
      <c r="G34" s="37">
        <v>2516.1120000000001</v>
      </c>
      <c r="H34" s="37">
        <v>47877.75</v>
      </c>
      <c r="I34" s="37">
        <v>76966.661999999997</v>
      </c>
      <c r="J34" s="73">
        <f t="shared" si="0"/>
        <v>841600.02</v>
      </c>
      <c r="L34" s="134"/>
      <c r="M34" s="139"/>
      <c r="N34" s="136"/>
      <c r="O34" s="138"/>
      <c r="P34" s="139"/>
      <c r="Q34" s="166"/>
      <c r="R34" s="3"/>
    </row>
    <row r="35" spans="1:18" ht="13.5" customHeight="1">
      <c r="A35" s="36">
        <v>8005</v>
      </c>
      <c r="B35" s="36" t="s">
        <v>21</v>
      </c>
      <c r="C35" s="37">
        <v>268988.35800000001</v>
      </c>
      <c r="D35" s="37">
        <v>8308.152</v>
      </c>
      <c r="E35" s="37">
        <v>16032.948</v>
      </c>
      <c r="F35" s="37">
        <v>0</v>
      </c>
      <c r="G35" s="37">
        <v>459.834</v>
      </c>
      <c r="H35" s="37">
        <v>2861.7660000000001</v>
      </c>
      <c r="I35" s="37">
        <v>60143.796000000002</v>
      </c>
      <c r="J35" s="73">
        <f t="shared" si="0"/>
        <v>229864.06199999998</v>
      </c>
      <c r="L35" s="134"/>
      <c r="M35" s="139"/>
      <c r="N35" s="136"/>
      <c r="O35" s="136"/>
      <c r="P35" s="139"/>
      <c r="Q35" s="166"/>
      <c r="R35" s="3"/>
    </row>
    <row r="36" spans="1:18" ht="13.5" customHeight="1">
      <c r="A36" s="39">
        <v>8040</v>
      </c>
      <c r="B36" s="39" t="s">
        <v>55</v>
      </c>
      <c r="C36" s="37">
        <v>320461.74</v>
      </c>
      <c r="D36" s="37">
        <v>9163.4639999999999</v>
      </c>
      <c r="E36" s="37">
        <v>17831.802</v>
      </c>
      <c r="F36" s="37">
        <v>0</v>
      </c>
      <c r="G36" s="37">
        <v>3290.46</v>
      </c>
      <c r="H36" s="37">
        <v>1442.82</v>
      </c>
      <c r="I36" s="37">
        <v>-197506.48800000001</v>
      </c>
      <c r="J36" s="73">
        <f t="shared" si="0"/>
        <v>540230.21400000004</v>
      </c>
      <c r="L36" s="134"/>
      <c r="M36" s="139"/>
      <c r="N36" s="136"/>
      <c r="O36" s="136"/>
      <c r="P36" s="139"/>
      <c r="Q36" s="166"/>
      <c r="R36" s="3"/>
    </row>
    <row r="37" spans="1:18" ht="13.5" customHeight="1">
      <c r="A37" s="74"/>
      <c r="B37" s="41" t="s">
        <v>30</v>
      </c>
      <c r="C37" s="113">
        <f>SUM(C5:C36)</f>
        <v>49918297.859999992</v>
      </c>
      <c r="D37" s="113">
        <f t="shared" ref="D37:J37" si="2">SUM(D5:D36)</f>
        <v>1611701.7991485146</v>
      </c>
      <c r="E37" s="113">
        <f t="shared" si="2"/>
        <v>1284429.5039999997</v>
      </c>
      <c r="F37" s="113">
        <f t="shared" si="2"/>
        <v>37039.991999999998</v>
      </c>
      <c r="G37" s="113">
        <f t="shared" si="2"/>
        <v>245979.01200000002</v>
      </c>
      <c r="H37" s="113">
        <f t="shared" si="2"/>
        <v>312581.24399999983</v>
      </c>
      <c r="I37" s="113">
        <f t="shared" si="2"/>
        <v>63641.856</v>
      </c>
      <c r="J37" s="113">
        <f t="shared" si="2"/>
        <v>52155187.05914852</v>
      </c>
      <c r="K37" s="71"/>
      <c r="L37" s="140"/>
      <c r="M37" s="141"/>
      <c r="N37" s="142"/>
      <c r="O37" s="142"/>
      <c r="P37" s="141"/>
      <c r="Q37" s="166"/>
      <c r="R37" s="3"/>
    </row>
    <row r="38" spans="1:18" ht="13.5" customHeight="1">
      <c r="A38" s="43"/>
      <c r="B38" s="24"/>
      <c r="C38" s="44"/>
      <c r="D38" s="44"/>
      <c r="E38" s="44"/>
      <c r="F38" s="44"/>
      <c r="G38" s="44"/>
      <c r="H38" s="44"/>
      <c r="I38" s="44"/>
      <c r="J38" s="44"/>
      <c r="L38" s="3"/>
      <c r="M38" s="3"/>
      <c r="N38" s="3"/>
      <c r="O38" s="3"/>
      <c r="P38" s="3"/>
      <c r="Q38" s="166"/>
      <c r="R38" s="3"/>
    </row>
    <row r="39" spans="1:18" ht="13.5" customHeight="1">
      <c r="A39" s="43"/>
      <c r="B39" s="45" t="s">
        <v>44</v>
      </c>
      <c r="C39" s="46">
        <f t="shared" ref="C39:I39" si="3">SUM(C5:C14)</f>
        <v>16385285.682</v>
      </c>
      <c r="D39" s="46">
        <f t="shared" si="3"/>
        <v>615881.96714851458</v>
      </c>
      <c r="E39" s="46">
        <f t="shared" si="3"/>
        <v>357949.11</v>
      </c>
      <c r="F39" s="46">
        <f t="shared" si="3"/>
        <v>7057.3619999999992</v>
      </c>
      <c r="G39" s="46">
        <f t="shared" si="3"/>
        <v>42375.312000000005</v>
      </c>
      <c r="H39" s="46">
        <f t="shared" si="3"/>
        <v>-1338297.5520000001</v>
      </c>
      <c r="I39" s="46">
        <f t="shared" si="3"/>
        <v>3.4106051316484809E-12</v>
      </c>
      <c r="J39" s="47">
        <f>SUM(C39:E39)-SUM(F39:I39)</f>
        <v>18647981.637148514</v>
      </c>
      <c r="L39" s="46"/>
      <c r="M39" s="154"/>
      <c r="N39" s="154"/>
      <c r="O39" s="154"/>
      <c r="P39" s="155">
        <f>SUM(P5:P14)</f>
        <v>33901.317148514492</v>
      </c>
      <c r="Q39" s="166"/>
      <c r="R39" s="3"/>
    </row>
    <row r="40" spans="1:18" ht="13.5" customHeight="1">
      <c r="A40" s="43"/>
      <c r="B40" s="48" t="s">
        <v>45</v>
      </c>
      <c r="C40" s="49">
        <f>SUM(C15:C16)</f>
        <v>6356064.2880000006</v>
      </c>
      <c r="D40" s="49">
        <f t="shared" ref="D40:I40" si="4">SUM(D15:D16)</f>
        <v>184115.25</v>
      </c>
      <c r="E40" s="49">
        <f t="shared" si="4"/>
        <v>176529.546</v>
      </c>
      <c r="F40" s="49">
        <f t="shared" si="4"/>
        <v>3782.4720000000002</v>
      </c>
      <c r="G40" s="49">
        <f t="shared" si="4"/>
        <v>41480.556000000004</v>
      </c>
      <c r="H40" s="49">
        <f>SUM(H15:H16)</f>
        <v>329546.31599999999</v>
      </c>
      <c r="I40" s="49">
        <f t="shared" si="4"/>
        <v>0</v>
      </c>
      <c r="J40" s="50">
        <f>SUM(C40:E40)-SUM(F40:I40)</f>
        <v>6341899.7400000012</v>
      </c>
      <c r="L40" s="49"/>
      <c r="M40" s="156"/>
      <c r="N40" s="160"/>
      <c r="O40" s="160"/>
      <c r="P40" s="161"/>
      <c r="Q40" s="166"/>
      <c r="R40" s="3"/>
    </row>
    <row r="41" spans="1:18" ht="13.5" customHeight="1">
      <c r="A41" s="43"/>
      <c r="B41" s="48" t="s">
        <v>46</v>
      </c>
      <c r="C41" s="49">
        <f t="shared" ref="C41:I41" si="5">SUM(C17:C23)</f>
        <v>11041089.052000001</v>
      </c>
      <c r="D41" s="49">
        <f>SUM(D17:D23)</f>
        <v>215846.21799999999</v>
      </c>
      <c r="E41" s="49">
        <f t="shared" si="5"/>
        <v>244717.84200000003</v>
      </c>
      <c r="F41" s="49">
        <f t="shared" si="5"/>
        <v>15417.414000000001</v>
      </c>
      <c r="G41" s="49">
        <f t="shared" si="5"/>
        <v>107682.466</v>
      </c>
      <c r="H41" s="49">
        <f t="shared" si="5"/>
        <v>513418.67400000006</v>
      </c>
      <c r="I41" s="49">
        <f t="shared" si="5"/>
        <v>38743.35</v>
      </c>
      <c r="J41" s="50">
        <f>SUM(C41:E41)-SUM(F41:I41)</f>
        <v>10826391.208000002</v>
      </c>
      <c r="L41" s="143" t="s">
        <v>46</v>
      </c>
      <c r="M41" s="159">
        <f>-27400*1.038</f>
        <v>-28441.200000000001</v>
      </c>
      <c r="N41" s="162">
        <f>SUM(N17:N23)</f>
        <v>-28441.200000000001</v>
      </c>
      <c r="O41" s="160"/>
      <c r="P41" s="161"/>
      <c r="Q41" s="166"/>
      <c r="R41" s="3"/>
    </row>
    <row r="42" spans="1:18" ht="13.5" customHeight="1">
      <c r="A42" s="43"/>
      <c r="B42" s="48" t="s">
        <v>47</v>
      </c>
      <c r="C42" s="49">
        <f>SUM(C24:C31)</f>
        <v>11141686.130000001</v>
      </c>
      <c r="D42" s="49">
        <f t="shared" ref="D42:I42" si="6">SUM(D24:D31)</f>
        <v>396096.30200000003</v>
      </c>
      <c r="E42" s="49">
        <f t="shared" si="6"/>
        <v>309957.18</v>
      </c>
      <c r="F42" s="49">
        <f t="shared" si="6"/>
        <v>10782.744000000001</v>
      </c>
      <c r="G42" s="49">
        <f t="shared" si="6"/>
        <v>21095.966</v>
      </c>
      <c r="H42" s="49">
        <f>SUM(H24:H31)</f>
        <v>527728.54200000002</v>
      </c>
      <c r="I42" s="49">
        <f t="shared" si="6"/>
        <v>24898.506000000001</v>
      </c>
      <c r="J42" s="50">
        <f>SUM(C42:E42)-SUM(F42:I42)</f>
        <v>11263233.854</v>
      </c>
      <c r="L42" s="49"/>
      <c r="M42" s="156"/>
      <c r="N42" s="160"/>
      <c r="O42" s="165">
        <f>SUM(O24:O31)</f>
        <v>0</v>
      </c>
      <c r="P42" s="161"/>
      <c r="Q42" s="166"/>
      <c r="R42" s="3"/>
    </row>
    <row r="43" spans="1:18" ht="13.5" customHeight="1">
      <c r="A43" s="51"/>
      <c r="B43" s="52" t="s">
        <v>48</v>
      </c>
      <c r="C43" s="53">
        <f>SUM(C32:C36)</f>
        <v>4994172.7080000006</v>
      </c>
      <c r="D43" s="53">
        <f t="shared" ref="D43:I43" si="7">SUM(D32:D36)</f>
        <v>199762.06200000001</v>
      </c>
      <c r="E43" s="53">
        <f t="shared" si="7"/>
        <v>195275.826</v>
      </c>
      <c r="F43" s="53">
        <f t="shared" si="7"/>
        <v>0</v>
      </c>
      <c r="G43" s="53">
        <f t="shared" si="7"/>
        <v>33344.712</v>
      </c>
      <c r="H43" s="53">
        <f>SUM(H32:H36)</f>
        <v>280185.26400000002</v>
      </c>
      <c r="I43" s="53">
        <f t="shared" si="7"/>
        <v>0</v>
      </c>
      <c r="J43" s="54">
        <f>SUM(C43:E43)-SUM(F43:I43)</f>
        <v>5075680.620000001</v>
      </c>
      <c r="L43" s="49"/>
      <c r="M43" s="156"/>
      <c r="N43" s="157"/>
      <c r="O43" s="157"/>
      <c r="P43" s="158"/>
      <c r="Q43" s="166"/>
      <c r="R43" s="3"/>
    </row>
    <row r="44" spans="1:18" ht="13.5" customHeight="1">
      <c r="A44" s="51"/>
      <c r="B44" s="41" t="s">
        <v>30</v>
      </c>
      <c r="C44" s="46">
        <f>SUM(C39:C43)</f>
        <v>49918297.859999999</v>
      </c>
      <c r="D44" s="55">
        <f t="shared" ref="D44:J44" si="8">SUM(D39:D43)</f>
        <v>1611701.7991485144</v>
      </c>
      <c r="E44" s="55">
        <f t="shared" si="8"/>
        <v>1284429.5040000002</v>
      </c>
      <c r="F44" s="55">
        <f t="shared" si="8"/>
        <v>37039.991999999998</v>
      </c>
      <c r="G44" s="55">
        <f t="shared" si="8"/>
        <v>245979.01200000005</v>
      </c>
      <c r="H44" s="55">
        <f t="shared" si="8"/>
        <v>312581.24399999995</v>
      </c>
      <c r="I44" s="55">
        <f t="shared" si="8"/>
        <v>63641.856</v>
      </c>
      <c r="J44" s="56">
        <f t="shared" si="8"/>
        <v>52155187.05914852</v>
      </c>
      <c r="L44" s="140"/>
      <c r="M44" s="144"/>
      <c r="N44" s="145"/>
      <c r="O44" s="145"/>
      <c r="P44" s="146"/>
      <c r="Q44" s="166"/>
      <c r="R44" s="3"/>
    </row>
    <row r="45" spans="1:18" ht="13.5" customHeight="1">
      <c r="C45" s="84"/>
      <c r="N45" s="3"/>
      <c r="O45" s="3"/>
      <c r="P45" s="3"/>
      <c r="Q45" s="166"/>
      <c r="R45" s="3"/>
    </row>
    <row r="46" spans="1:18" ht="13.5" customHeight="1">
      <c r="D46" s="27"/>
      <c r="E46" s="27"/>
      <c r="N46" s="3"/>
      <c r="O46" s="3"/>
      <c r="P46" s="3"/>
      <c r="Q46" s="166"/>
      <c r="R46" s="3"/>
    </row>
    <row r="47" spans="1:18" ht="13.5" customHeight="1">
      <c r="N47" s="3"/>
      <c r="O47" s="3"/>
      <c r="P47" s="3"/>
      <c r="Q47" s="166"/>
      <c r="R47" s="3"/>
    </row>
    <row r="48" spans="1:18" ht="13.5" customHeight="1">
      <c r="N48" s="3"/>
      <c r="O48" s="3"/>
      <c r="P48" s="3"/>
      <c r="Q48" s="166"/>
      <c r="R48" s="3"/>
    </row>
    <row r="49" spans="14:18" ht="13.5" customHeight="1">
      <c r="N49" s="3"/>
      <c r="O49" s="3"/>
      <c r="P49" s="3"/>
      <c r="Q49" s="166"/>
      <c r="R49" s="3"/>
    </row>
    <row r="50" spans="14:18" ht="13.5" customHeight="1">
      <c r="N50" s="3"/>
      <c r="O50" s="3"/>
      <c r="P50" s="3"/>
      <c r="Q50" s="166"/>
      <c r="R50" s="3"/>
    </row>
    <row r="51" spans="14:18" ht="13.5" customHeight="1">
      <c r="N51" s="3"/>
      <c r="O51" s="3"/>
      <c r="P51" s="3"/>
      <c r="Q51" s="166"/>
      <c r="R51" s="3"/>
    </row>
    <row r="52" spans="14:18" ht="13.5" customHeight="1">
      <c r="N52" s="3"/>
      <c r="O52" s="3"/>
      <c r="P52" s="3"/>
      <c r="Q52" s="166"/>
      <c r="R52" s="3"/>
    </row>
    <row r="53" spans="14:18">
      <c r="N53" s="3"/>
      <c r="O53" s="3"/>
      <c r="P53" s="3"/>
      <c r="Q53" s="166"/>
      <c r="R53" s="3"/>
    </row>
  </sheetData>
  <phoneticPr fontId="12" type="noConversion"/>
  <pageMargins left="0.52" right="0.43" top="0.52" bottom="0.19" header="0.23" footer="0.25"/>
  <pageSetup paperSize="9" scale="70" orientation="landscape" r:id="rId1"/>
  <headerFooter alignWithMargins="0">
    <oddHeader>&amp;CSide &amp;P /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55"/>
  <sheetViews>
    <sheetView tabSelected="1" zoomScaleNormal="100" zoomScaleSheetLayoutView="100" workbookViewId="0">
      <selection activeCell="M42" sqref="M42"/>
    </sheetView>
  </sheetViews>
  <sheetFormatPr defaultColWidth="8.85546875" defaultRowHeight="12"/>
  <cols>
    <col min="1" max="1" width="8.5703125" style="2" customWidth="1"/>
    <col min="2" max="2" width="39.28515625" style="1" customWidth="1"/>
    <col min="3" max="8" width="10" style="1" customWidth="1"/>
    <col min="9" max="9" width="11.42578125" style="1" customWidth="1"/>
    <col min="10" max="10" width="9.42578125" style="1" customWidth="1"/>
    <col min="11" max="16384" width="8.85546875" style="1"/>
  </cols>
  <sheetData>
    <row r="1" spans="1:15" ht="15.75">
      <c r="A1" s="8" t="str">
        <f>'Skema1-7_2008'!A1</f>
        <v>Bilag E til Løbende Offentliggørelse af Produktivitet i Sygehussektoren, 2008-2009. December 2010</v>
      </c>
    </row>
    <row r="2" spans="1:15" ht="13.5" customHeight="1">
      <c r="A2" s="31" t="s">
        <v>77</v>
      </c>
    </row>
    <row r="3" spans="1:15" ht="13.5" customHeight="1">
      <c r="A3" s="25" t="s">
        <v>64</v>
      </c>
    </row>
    <row r="4" spans="1:15" ht="33.75" customHeight="1">
      <c r="A4" s="75"/>
      <c r="B4" s="17"/>
      <c r="C4" s="214" t="s">
        <v>33</v>
      </c>
      <c r="D4" s="215"/>
      <c r="E4" s="216" t="s">
        <v>65</v>
      </c>
      <c r="F4" s="217"/>
      <c r="G4" s="212" t="s">
        <v>71</v>
      </c>
      <c r="H4" s="213"/>
      <c r="I4" s="213"/>
      <c r="J4" s="30" t="s">
        <v>36</v>
      </c>
    </row>
    <row r="5" spans="1:15" ht="24" customHeight="1">
      <c r="A5" s="18" t="s">
        <v>22</v>
      </c>
      <c r="B5" s="86" t="s">
        <v>0</v>
      </c>
      <c r="C5" s="93">
        <v>2008</v>
      </c>
      <c r="D5" s="114">
        <v>2009</v>
      </c>
      <c r="E5" s="94">
        <v>2008</v>
      </c>
      <c r="F5" s="94">
        <v>2009</v>
      </c>
      <c r="G5" s="101" t="s">
        <v>43</v>
      </c>
      <c r="H5" s="102" t="s">
        <v>34</v>
      </c>
      <c r="I5" s="103" t="s">
        <v>35</v>
      </c>
      <c r="J5" s="89">
        <v>2009</v>
      </c>
    </row>
    <row r="6" spans="1:15" ht="13.5" customHeight="1">
      <c r="A6" s="36">
        <v>1301</v>
      </c>
      <c r="B6" s="87" t="s">
        <v>1</v>
      </c>
      <c r="C6" s="92">
        <f>DRG_08!H5/1000</f>
        <v>4531.7620791675035</v>
      </c>
      <c r="D6" s="90">
        <f>DRG_09!I5/1000</f>
        <v>5094.5948940254366</v>
      </c>
      <c r="E6" s="77">
        <f>DTD_08!G5/1000</f>
        <v>4844.6924010656921</v>
      </c>
      <c r="F6" s="77">
        <f>DTD_09!G5/1000</f>
        <v>5030.1111340628204</v>
      </c>
      <c r="G6" s="104">
        <f>(D6/C6-1)*100</f>
        <v>12.419734421744554</v>
      </c>
      <c r="H6" s="105">
        <f>(F6/E6-1)*100</f>
        <v>3.8272550173947373</v>
      </c>
      <c r="I6" s="106">
        <f t="shared" ref="I6:I38" si="0">((D6/C6)/(F6/E6)-1)*100</f>
        <v>8.2757455187563842</v>
      </c>
      <c r="J6" s="99">
        <f t="shared" ref="J6:J38" si="1">(D6/F6)/($D$38/$F$38)*100</f>
        <v>98.666900369834821</v>
      </c>
      <c r="K6" s="66"/>
      <c r="L6" s="79"/>
      <c r="N6" s="78"/>
      <c r="O6" s="78"/>
    </row>
    <row r="7" spans="1:15" ht="13.5" customHeight="1">
      <c r="A7" s="36">
        <v>1309</v>
      </c>
      <c r="B7" s="87" t="s">
        <v>2</v>
      </c>
      <c r="C7" s="92">
        <f>DRG_08!H6/1000</f>
        <v>1351.5994677679334</v>
      </c>
      <c r="D7" s="90">
        <f>DRG_09!I6/1000</f>
        <v>1541.5137678651292</v>
      </c>
      <c r="E7" s="91">
        <f>DTD_08!G6/1000</f>
        <v>1371.7039247060484</v>
      </c>
      <c r="F7" s="91">
        <f>DTD_09!G6/1000</f>
        <v>1497.7454952701612</v>
      </c>
      <c r="G7" s="107">
        <f t="shared" ref="G7:G38" si="2">(D7/C7-1)*100</f>
        <v>14.051078342818911</v>
      </c>
      <c r="H7" s="100">
        <f t="shared" ref="H7:H38" si="3">(F7/E7-1)*100</f>
        <v>9.1886862969443825</v>
      </c>
      <c r="I7" s="98">
        <f t="shared" si="0"/>
        <v>4.4532013441859641</v>
      </c>
      <c r="J7" s="99">
        <f t="shared" si="1"/>
        <v>100.26487004643106</v>
      </c>
      <c r="K7" s="15"/>
      <c r="L7" s="15"/>
      <c r="N7" s="78"/>
      <c r="O7" s="78"/>
    </row>
    <row r="8" spans="1:15" ht="13.5" customHeight="1">
      <c r="A8" s="36">
        <v>1330</v>
      </c>
      <c r="B8" s="87" t="s">
        <v>3</v>
      </c>
      <c r="C8" s="92">
        <f>DRG_08!H7/1000</f>
        <v>1791.6453888666999</v>
      </c>
      <c r="D8" s="90">
        <f>DRG_09!I7/1000</f>
        <v>2120.2541728043739</v>
      </c>
      <c r="E8" s="91">
        <f>DTD_08!G7/1000</f>
        <v>1663.7231264228849</v>
      </c>
      <c r="F8" s="91">
        <f>DTD_09!G7/1000</f>
        <v>2112.0615605533153</v>
      </c>
      <c r="G8" s="107">
        <f t="shared" si="2"/>
        <v>18.341173201999219</v>
      </c>
      <c r="H8" s="100">
        <f t="shared" si="3"/>
        <v>26.947899383618456</v>
      </c>
      <c r="I8" s="98">
        <f t="shared" si="0"/>
        <v>-6.7797310734626137</v>
      </c>
      <c r="J8" s="99">
        <f t="shared" si="1"/>
        <v>97.79592605404693</v>
      </c>
      <c r="K8" s="15"/>
      <c r="L8" s="15"/>
      <c r="N8" s="78"/>
      <c r="O8" s="78"/>
    </row>
    <row r="9" spans="1:15" ht="13.5" customHeight="1">
      <c r="A9" s="36">
        <v>1351</v>
      </c>
      <c r="B9" s="87" t="s">
        <v>4</v>
      </c>
      <c r="C9" s="92">
        <f>DRG_08!H8/1000</f>
        <v>486.36326402295305</v>
      </c>
      <c r="D9" s="90">
        <f>DRG_09!I8/1000</f>
        <v>381.21938907111883</v>
      </c>
      <c r="E9" s="91">
        <f>DTD_08!G8/1000</f>
        <v>528.2171323074931</v>
      </c>
      <c r="F9" s="91">
        <f>DTD_09!G8/1000</f>
        <v>382.29923576538152</v>
      </c>
      <c r="G9" s="107">
        <f t="shared" si="2"/>
        <v>-21.618383362702353</v>
      </c>
      <c r="H9" s="100">
        <f t="shared" si="3"/>
        <v>-27.624605037832783</v>
      </c>
      <c r="I9" s="98">
        <f t="shared" si="0"/>
        <v>8.2987065953423311</v>
      </c>
      <c r="J9" s="99">
        <f t="shared" si="1"/>
        <v>97.142876797686441</v>
      </c>
      <c r="K9" s="15"/>
      <c r="L9" s="15"/>
      <c r="N9" s="78"/>
      <c r="O9" s="78"/>
    </row>
    <row r="10" spans="1:15" ht="13.5" customHeight="1">
      <c r="A10" s="36">
        <v>1401</v>
      </c>
      <c r="B10" s="87" t="s">
        <v>5</v>
      </c>
      <c r="C10" s="92">
        <f>DRG_08!H9/1000</f>
        <v>608.20299636857476</v>
      </c>
      <c r="D10" s="90">
        <f>DRG_09!I9/1000</f>
        <v>662.07155780014284</v>
      </c>
      <c r="E10" s="91">
        <f>DTD_08!G9/1000</f>
        <v>657.0992211421792</v>
      </c>
      <c r="F10" s="91">
        <f>DTD_09!G9/1000</f>
        <v>668.29348205105532</v>
      </c>
      <c r="G10" s="107">
        <f t="shared" si="2"/>
        <v>8.8570036243168069</v>
      </c>
      <c r="H10" s="100">
        <f t="shared" si="3"/>
        <v>1.703587608796453</v>
      </c>
      <c r="I10" s="98">
        <f t="shared" si="0"/>
        <v>7.0335926034743368</v>
      </c>
      <c r="J10" s="99">
        <f t="shared" si="1"/>
        <v>96.511066581521348</v>
      </c>
      <c r="K10" s="15"/>
      <c r="L10" s="15"/>
      <c r="N10" s="78"/>
      <c r="O10" s="78"/>
    </row>
    <row r="11" spans="1:15" ht="13.5" customHeight="1">
      <c r="A11" s="36">
        <v>1501</v>
      </c>
      <c r="B11" s="87" t="s">
        <v>6</v>
      </c>
      <c r="C11" s="92">
        <f>DRG_08!H10/1000</f>
        <v>1162.9313963827244</v>
      </c>
      <c r="D11" s="90">
        <f>DRG_09!I10/1000</f>
        <v>1321.7323680660031</v>
      </c>
      <c r="E11" s="91">
        <f>DTD_08!G10/1000</f>
        <v>1227.0896283692346</v>
      </c>
      <c r="F11" s="91">
        <f>DTD_09!G10/1000</f>
        <v>1333.9467876204528</v>
      </c>
      <c r="G11" s="107">
        <f t="shared" si="2"/>
        <v>13.65523126963688</v>
      </c>
      <c r="H11" s="100">
        <f t="shared" si="3"/>
        <v>8.7081788306880412</v>
      </c>
      <c r="I11" s="98">
        <f t="shared" si="0"/>
        <v>4.5507637899571796</v>
      </c>
      <c r="J11" s="99">
        <f t="shared" si="1"/>
        <v>96.526026651042457</v>
      </c>
      <c r="K11" s="15"/>
      <c r="L11" s="15"/>
      <c r="N11" s="78"/>
      <c r="O11" s="78"/>
    </row>
    <row r="12" spans="1:15" ht="13.5" customHeight="1">
      <c r="A12" s="36">
        <v>1502</v>
      </c>
      <c r="B12" s="87" t="s">
        <v>7</v>
      </c>
      <c r="C12" s="92">
        <f>DRG_08!H11/1000</f>
        <v>1365.7039827446404</v>
      </c>
      <c r="D12" s="90">
        <f>DRG_09!I11/1000</f>
        <v>1342.4677332745441</v>
      </c>
      <c r="E12" s="91">
        <f>DTD_08!G11/1000</f>
        <v>1476.140069802917</v>
      </c>
      <c r="F12" s="91">
        <f>DTD_09!G11/1000</f>
        <v>1293.2174029334917</v>
      </c>
      <c r="G12" s="107">
        <f t="shared" si="2"/>
        <v>-1.701411855254209</v>
      </c>
      <c r="H12" s="100">
        <f t="shared" si="3"/>
        <v>-12.391958636679224</v>
      </c>
      <c r="I12" s="98">
        <f t="shared" si="0"/>
        <v>12.20270036296105</v>
      </c>
      <c r="J12" s="99">
        <f t="shared" si="1"/>
        <v>101.12807144033886</v>
      </c>
      <c r="K12" s="15"/>
      <c r="L12" s="15"/>
      <c r="N12" s="78"/>
      <c r="O12" s="78"/>
    </row>
    <row r="13" spans="1:15" ht="13.5" customHeight="1">
      <c r="A13" s="36">
        <v>1516</v>
      </c>
      <c r="B13" s="87" t="s">
        <v>8</v>
      </c>
      <c r="C13" s="92">
        <f>DRG_08!H12/1000</f>
        <v>2204.3735364127633</v>
      </c>
      <c r="D13" s="90">
        <f>DRG_09!I12/1000</f>
        <v>2600.7588893029151</v>
      </c>
      <c r="E13" s="91">
        <f>DTD_08!G12/1000</f>
        <v>2298.8404988733191</v>
      </c>
      <c r="F13" s="91">
        <f>DTD_09!G12/1000</f>
        <v>2492.6289131891217</v>
      </c>
      <c r="G13" s="107">
        <f t="shared" si="2"/>
        <v>17.981768803811725</v>
      </c>
      <c r="H13" s="100">
        <f t="shared" si="3"/>
        <v>8.4298329706119279</v>
      </c>
      <c r="I13" s="98">
        <f t="shared" si="0"/>
        <v>8.8093244926317418</v>
      </c>
      <c r="J13" s="99">
        <f t="shared" si="1"/>
        <v>101.64402928230889</v>
      </c>
      <c r="K13" s="15"/>
      <c r="L13" s="15"/>
      <c r="N13" s="78"/>
      <c r="O13" s="78"/>
    </row>
    <row r="14" spans="1:15" ht="13.5" customHeight="1">
      <c r="A14" s="36">
        <v>2000</v>
      </c>
      <c r="B14" s="87" t="s">
        <v>9</v>
      </c>
      <c r="C14" s="92">
        <f>DRG_08!H13/1000</f>
        <v>2206.6734852857276</v>
      </c>
      <c r="D14" s="90">
        <f>DRG_09!I13/1000</f>
        <v>2315.1166302426104</v>
      </c>
      <c r="E14" s="91">
        <f>DTD_08!G13/1000</f>
        <v>2339.8667149682537</v>
      </c>
      <c r="F14" s="91">
        <f>DTD_09!G13/1000</f>
        <v>2530.4435635540503</v>
      </c>
      <c r="G14" s="107">
        <f t="shared" si="2"/>
        <v>4.9143267311630101</v>
      </c>
      <c r="H14" s="100">
        <f t="shared" si="3"/>
        <v>8.1447736901707266</v>
      </c>
      <c r="I14" s="98">
        <f t="shared" si="0"/>
        <v>-2.9871503252323461</v>
      </c>
      <c r="J14" s="99">
        <f t="shared" si="1"/>
        <v>89.128301090417992</v>
      </c>
      <c r="K14" s="15"/>
      <c r="L14" s="15"/>
      <c r="N14" s="78"/>
      <c r="O14" s="78"/>
    </row>
    <row r="15" spans="1:15" ht="13.5" customHeight="1">
      <c r="A15" s="36">
        <v>4001</v>
      </c>
      <c r="B15" s="87" t="s">
        <v>11</v>
      </c>
      <c r="C15" s="92">
        <f>DRG_08!H14/1000</f>
        <v>245.57039004544919</v>
      </c>
      <c r="D15" s="90">
        <f>DRG_09!I14/1000</f>
        <v>262.68890924648815</v>
      </c>
      <c r="E15" s="91">
        <f>DTD_08!G14/1000</f>
        <v>346.91372739018641</v>
      </c>
      <c r="F15" s="91">
        <f>DTD_09!G14/1000</f>
        <v>355.08779195388331</v>
      </c>
      <c r="G15" s="107">
        <f t="shared" si="2"/>
        <v>6.9709215340948649</v>
      </c>
      <c r="H15" s="100">
        <f t="shared" si="3"/>
        <v>2.3562240171900894</v>
      </c>
      <c r="I15" s="98">
        <f t="shared" si="0"/>
        <v>4.5084679131283334</v>
      </c>
      <c r="J15" s="99">
        <f t="shared" si="1"/>
        <v>72.068487102518574</v>
      </c>
      <c r="K15" s="15"/>
      <c r="L15" s="15"/>
      <c r="N15" s="78"/>
      <c r="O15" s="78"/>
    </row>
    <row r="16" spans="1:15" ht="13.5" customHeight="1">
      <c r="A16" s="36">
        <v>2500</v>
      </c>
      <c r="B16" s="87" t="s">
        <v>10</v>
      </c>
      <c r="C16" s="92">
        <f>DRG_08!H15/1000</f>
        <v>2796.4418938527069</v>
      </c>
      <c r="D16" s="90">
        <f>DRG_09!I15/1000</f>
        <v>2982.1643319513528</v>
      </c>
      <c r="E16" s="91">
        <f>DTD_08!G15/1000</f>
        <v>3025.1752821738355</v>
      </c>
      <c r="F16" s="91">
        <f>DTD_09!G15/1000</f>
        <v>3160.1076017006089</v>
      </c>
      <c r="G16" s="107">
        <f t="shared" si="2"/>
        <v>6.6413837708164447</v>
      </c>
      <c r="H16" s="100">
        <f t="shared" si="3"/>
        <v>4.4603140955790765</v>
      </c>
      <c r="I16" s="98">
        <f t="shared" si="0"/>
        <v>2.0879409507056801</v>
      </c>
      <c r="J16" s="99">
        <f t="shared" si="1"/>
        <v>91.932508444123272</v>
      </c>
      <c r="K16" s="15"/>
      <c r="L16" s="15"/>
      <c r="N16" s="78"/>
      <c r="O16" s="78"/>
    </row>
    <row r="17" spans="1:15" ht="13.5" customHeight="1">
      <c r="A17" s="36">
        <v>2501</v>
      </c>
      <c r="B17" s="87" t="s">
        <v>56</v>
      </c>
      <c r="C17" s="92">
        <f>DRG_08!H16/1000</f>
        <v>2959.6586240902984</v>
      </c>
      <c r="D17" s="90">
        <f>DRG_09!I16/1000</f>
        <v>3315.0098143985451</v>
      </c>
      <c r="E17" s="91">
        <f>DTD_08!G16/1000</f>
        <v>2982.089002806616</v>
      </c>
      <c r="F17" s="91">
        <f>DTD_09!G16/1000</f>
        <v>3085.9658555676633</v>
      </c>
      <c r="G17" s="107">
        <f t="shared" si="2"/>
        <v>12.006492485851128</v>
      </c>
      <c r="H17" s="100">
        <f t="shared" si="3"/>
        <v>3.4833585672085166</v>
      </c>
      <c r="I17" s="98">
        <f t="shared" si="0"/>
        <v>8.2362362766832398</v>
      </c>
      <c r="J17" s="99">
        <f t="shared" si="1"/>
        <v>104.64852498207225</v>
      </c>
      <c r="K17" s="15"/>
      <c r="L17" s="15"/>
      <c r="N17" s="78"/>
      <c r="O17" s="78"/>
    </row>
    <row r="18" spans="1:15" ht="13.5" customHeight="1">
      <c r="A18" s="36">
        <v>4202</v>
      </c>
      <c r="B18" s="87" t="s">
        <v>12</v>
      </c>
      <c r="C18" s="92">
        <f>DRG_08!H17/1000</f>
        <v>3616.6260724775098</v>
      </c>
      <c r="D18" s="90">
        <f>DRG_09!I17/1000</f>
        <v>3940.1659477690864</v>
      </c>
      <c r="E18" s="91">
        <f>DTD_08!G17/1000</f>
        <v>3663.6220034037606</v>
      </c>
      <c r="F18" s="91">
        <f>DTD_09!G17/1000</f>
        <v>3815.0690421193203</v>
      </c>
      <c r="G18" s="107">
        <f t="shared" si="2"/>
        <v>8.9459034140607407</v>
      </c>
      <c r="H18" s="100">
        <f t="shared" si="3"/>
        <v>4.1338063417801996</v>
      </c>
      <c r="I18" s="98">
        <f t="shared" si="0"/>
        <v>4.6210709483591073</v>
      </c>
      <c r="J18" s="99">
        <f t="shared" si="1"/>
        <v>100.61240280588686</v>
      </c>
      <c r="K18" s="15"/>
      <c r="L18" s="15"/>
      <c r="N18" s="78"/>
      <c r="O18" s="78"/>
    </row>
    <row r="19" spans="1:15" ht="13.5" customHeight="1">
      <c r="A19" s="36">
        <v>4212</v>
      </c>
      <c r="B19" s="87" t="s">
        <v>50</v>
      </c>
      <c r="C19" s="92">
        <f>DRG_08!H18/1000</f>
        <v>1060.9002760352073</v>
      </c>
      <c r="D19" s="90">
        <f>DRG_09!I18/1000</f>
        <v>1149.8984584573807</v>
      </c>
      <c r="E19" s="91">
        <f>DTD_08!G18/1000</f>
        <v>1095.3428512895491</v>
      </c>
      <c r="F19" s="91">
        <f>DTD_09!G18/1000</f>
        <v>1063.4265264781877</v>
      </c>
      <c r="G19" s="107">
        <f t="shared" si="2"/>
        <v>8.3889300844351755</v>
      </c>
      <c r="H19" s="100">
        <f t="shared" si="3"/>
        <v>-2.9138205242117743</v>
      </c>
      <c r="I19" s="98">
        <f t="shared" si="0"/>
        <v>11.641976921612907</v>
      </c>
      <c r="J19" s="99">
        <f t="shared" si="1"/>
        <v>105.3395386167202</v>
      </c>
      <c r="K19" s="15"/>
      <c r="L19" s="15"/>
      <c r="N19" s="78"/>
      <c r="O19" s="78"/>
    </row>
    <row r="20" spans="1:15" ht="13.5" customHeight="1">
      <c r="A20" s="36">
        <v>5000</v>
      </c>
      <c r="B20" s="87" t="s">
        <v>57</v>
      </c>
      <c r="C20" s="92">
        <f>DRG_08!H19/1000</f>
        <v>1553.920615870933</v>
      </c>
      <c r="D20" s="90">
        <f>DRG_09!I19/1000</f>
        <v>1637.826852957076</v>
      </c>
      <c r="E20" s="91">
        <f>DTD_08!G19/1000</f>
        <v>1663.112968779885</v>
      </c>
      <c r="F20" s="91">
        <f>DTD_09!G19/1000</f>
        <v>1627.6247958162305</v>
      </c>
      <c r="G20" s="107">
        <f t="shared" si="2"/>
        <v>5.3996475900485841</v>
      </c>
      <c r="H20" s="100">
        <f t="shared" si="3"/>
        <v>-2.1338401918475691</v>
      </c>
      <c r="I20" s="98">
        <f t="shared" si="0"/>
        <v>7.697745366390274</v>
      </c>
      <c r="J20" s="99">
        <f t="shared" si="1"/>
        <v>98.028667481345693</v>
      </c>
      <c r="K20" s="15"/>
      <c r="L20" s="15"/>
      <c r="N20" s="78"/>
      <c r="O20" s="78"/>
    </row>
    <row r="21" spans="1:15" ht="13.5" customHeight="1">
      <c r="A21" s="36">
        <v>5501</v>
      </c>
      <c r="B21" s="87" t="s">
        <v>13</v>
      </c>
      <c r="C21" s="92">
        <f>DRG_08!H20/1000</f>
        <v>1552.7689590887801</v>
      </c>
      <c r="D21" s="90">
        <f>DRG_09!I20/1000</f>
        <v>1625.3622428792789</v>
      </c>
      <c r="E21" s="91">
        <f>DTD_08!G20/1000</f>
        <v>1453.6673059124867</v>
      </c>
      <c r="F21" s="91">
        <f>DTD_09!G20/1000</f>
        <v>1489.5590608833968</v>
      </c>
      <c r="G21" s="107">
        <f t="shared" si="2"/>
        <v>4.675085972423032</v>
      </c>
      <c r="H21" s="100">
        <f t="shared" si="3"/>
        <v>2.4690487861237509</v>
      </c>
      <c r="I21" s="98">
        <f t="shared" si="0"/>
        <v>2.1528814919554717</v>
      </c>
      <c r="J21" s="99">
        <f t="shared" si="1"/>
        <v>106.29965343931114</v>
      </c>
      <c r="K21" s="15"/>
      <c r="L21" s="15"/>
      <c r="N21" s="78"/>
      <c r="O21" s="78"/>
    </row>
    <row r="22" spans="1:15" ht="13.5" customHeight="1">
      <c r="A22" s="36">
        <v>6007</v>
      </c>
      <c r="B22" s="87" t="s">
        <v>14</v>
      </c>
      <c r="C22" s="92">
        <f>DRG_08!H21/1000</f>
        <v>1232.9889774551414</v>
      </c>
      <c r="D22" s="90">
        <f>DRG_09!I21/1000</f>
        <v>1356.5962507774454</v>
      </c>
      <c r="E22" s="91">
        <f>DTD_08!G21/1000</f>
        <v>1115.285072483123</v>
      </c>
      <c r="F22" s="91">
        <f>DTD_09!G21/1000</f>
        <v>1173.6800283182802</v>
      </c>
      <c r="G22" s="107">
        <f t="shared" si="2"/>
        <v>10.025010408237911</v>
      </c>
      <c r="H22" s="100">
        <f t="shared" si="3"/>
        <v>5.2358771112343439</v>
      </c>
      <c r="I22" s="98">
        <f t="shared" si="0"/>
        <v>4.5508560658847008</v>
      </c>
      <c r="J22" s="99">
        <f t="shared" si="1"/>
        <v>112.60049696297854</v>
      </c>
      <c r="K22" s="15"/>
      <c r="L22" s="15"/>
      <c r="N22" s="78"/>
      <c r="O22" s="78"/>
    </row>
    <row r="23" spans="1:15" ht="13.5" customHeight="1">
      <c r="A23" s="36">
        <v>6008</v>
      </c>
      <c r="B23" s="87" t="s">
        <v>98</v>
      </c>
      <c r="C23" s="92">
        <f>DRG_08!H22/1000</f>
        <v>1237.5967436064795</v>
      </c>
      <c r="D23" s="90">
        <f>DRG_09!I22/1000</f>
        <v>1400.9225285046264</v>
      </c>
      <c r="E23" s="91">
        <f>DTD_08!G22/1000</f>
        <v>980.50201186919992</v>
      </c>
      <c r="F23" s="91">
        <f>DTD_09!G22/1000</f>
        <v>1133.7748642772062</v>
      </c>
      <c r="G23" s="107">
        <f t="shared" si="2"/>
        <v>13.197011525919123</v>
      </c>
      <c r="H23" s="100">
        <f t="shared" si="3"/>
        <v>15.632079338196503</v>
      </c>
      <c r="I23" s="98">
        <f t="shared" si="0"/>
        <v>-2.1058756585665028</v>
      </c>
      <c r="J23" s="99">
        <f t="shared" si="1"/>
        <v>120.37234029250628</v>
      </c>
      <c r="K23" s="15"/>
      <c r="L23" s="15"/>
      <c r="N23" s="78"/>
      <c r="O23" s="78"/>
    </row>
    <row r="24" spans="1:15" ht="13.5" customHeight="1">
      <c r="A24" s="36">
        <v>6013</v>
      </c>
      <c r="B24" s="36" t="s">
        <v>73</v>
      </c>
      <c r="C24" s="92">
        <f>DRG_08!H23/1000</f>
        <v>53.284955968197863</v>
      </c>
      <c r="D24" s="90">
        <f>DRG_09!I23/1000</f>
        <v>106.43024057208797</v>
      </c>
      <c r="E24" s="91">
        <f>DTD_08!G23/1000</f>
        <v>29.264794679695527</v>
      </c>
      <c r="F24" s="91">
        <f>DTD_09!G23/1000</f>
        <v>64.53563852696</v>
      </c>
      <c r="G24" s="107">
        <f t="shared" si="2"/>
        <v>99.737878427841594</v>
      </c>
      <c r="H24" s="100">
        <f t="shared" si="3"/>
        <v>120.52312081224356</v>
      </c>
      <c r="I24" s="98">
        <f t="shared" si="0"/>
        <v>-9.4254254646154898</v>
      </c>
      <c r="J24" s="99">
        <f t="shared" si="1"/>
        <v>160.65891949029674</v>
      </c>
      <c r="K24" s="15"/>
      <c r="L24" s="15"/>
      <c r="N24" s="78"/>
      <c r="O24" s="78"/>
    </row>
    <row r="25" spans="1:15" ht="13.5" customHeight="1">
      <c r="A25" s="36">
        <v>6014</v>
      </c>
      <c r="B25" s="36" t="s">
        <v>74</v>
      </c>
      <c r="C25" s="92">
        <f>DRG_08!H24/1000</f>
        <v>66.54050399999916</v>
      </c>
      <c r="D25" s="90">
        <f>DRG_09!I24/1000</f>
        <v>77.009211999999138</v>
      </c>
      <c r="E25" s="91">
        <f>DTD_08!G24/1000</f>
        <v>59.971531999999996</v>
      </c>
      <c r="F25" s="91">
        <f>DTD_09!G24/1000</f>
        <v>52.6664523985297</v>
      </c>
      <c r="G25" s="107">
        <f t="shared" si="2"/>
        <v>15.732835447113702</v>
      </c>
      <c r="H25" s="100">
        <f t="shared" si="3"/>
        <v>-12.180912105881003</v>
      </c>
      <c r="I25" s="98">
        <f t="shared" si="0"/>
        <v>31.785512947537708</v>
      </c>
      <c r="J25" s="99">
        <f t="shared" si="1"/>
        <v>142.44526696544827</v>
      </c>
      <c r="K25" s="15"/>
      <c r="L25" s="15"/>
      <c r="N25" s="78"/>
      <c r="O25" s="78"/>
    </row>
    <row r="26" spans="1:15" ht="13.5" customHeight="1">
      <c r="A26" s="36">
        <v>6006</v>
      </c>
      <c r="B26" s="87" t="s">
        <v>51</v>
      </c>
      <c r="C26" s="92">
        <f>DRG_08!H25/1000</f>
        <v>852.52800350882785</v>
      </c>
      <c r="D26" s="90">
        <f>DRG_09!I25/1000</f>
        <v>882.77930657972001</v>
      </c>
      <c r="E26" s="91">
        <f>DTD_08!G25/1000</f>
        <v>786.61032336353981</v>
      </c>
      <c r="F26" s="91">
        <f>DTD_09!G25/1000</f>
        <v>808.10784274983746</v>
      </c>
      <c r="G26" s="107">
        <f t="shared" si="2"/>
        <v>3.5484233886023731</v>
      </c>
      <c r="H26" s="100">
        <f t="shared" si="3"/>
        <v>2.7329312555134599</v>
      </c>
      <c r="I26" s="98">
        <f t="shared" si="0"/>
        <v>0.79379817466771474</v>
      </c>
      <c r="J26" s="99">
        <f t="shared" si="1"/>
        <v>106.41974941008137</v>
      </c>
      <c r="K26" s="15"/>
      <c r="L26" s="15"/>
      <c r="N26" s="78"/>
      <c r="O26" s="78"/>
    </row>
    <row r="27" spans="1:15" ht="13.5" customHeight="1">
      <c r="A27" s="36">
        <v>6500</v>
      </c>
      <c r="B27" s="87" t="s">
        <v>15</v>
      </c>
      <c r="C27" s="92">
        <f>DRG_08!H26/1000</f>
        <v>1737.7034751904639</v>
      </c>
      <c r="D27" s="90">
        <f>DRG_09!I26/1000</f>
        <v>1816.6824543068269</v>
      </c>
      <c r="E27" s="91">
        <f>DTD_08!G26/1000</f>
        <v>1759.86947819645</v>
      </c>
      <c r="F27" s="91">
        <f>DTD_09!G26/1000</f>
        <v>1819.6107111033555</v>
      </c>
      <c r="G27" s="107">
        <f t="shared" si="2"/>
        <v>4.5450204965324259</v>
      </c>
      <c r="H27" s="100">
        <f t="shared" si="3"/>
        <v>3.3946399802404326</v>
      </c>
      <c r="I27" s="98">
        <f t="shared" si="0"/>
        <v>1.1126113660358428</v>
      </c>
      <c r="J27" s="99">
        <f t="shared" si="1"/>
        <v>97.26127232366278</v>
      </c>
      <c r="K27" s="15"/>
      <c r="L27" s="15"/>
      <c r="N27" s="78"/>
      <c r="O27" s="78"/>
    </row>
    <row r="28" spans="1:15" ht="13.5" customHeight="1">
      <c r="A28" s="36">
        <v>7002</v>
      </c>
      <c r="B28" s="87" t="s">
        <v>16</v>
      </c>
      <c r="C28" s="92">
        <f>DRG_08!H27/1000</f>
        <v>642.93062248977981</v>
      </c>
      <c r="D28" s="90">
        <f>DRG_09!I27/1000</f>
        <v>654.25681525444566</v>
      </c>
      <c r="E28" s="91">
        <f>DTD_08!G27/1000</f>
        <v>613.07006766962877</v>
      </c>
      <c r="F28" s="91">
        <f>DTD_09!G27/1000</f>
        <v>598.58901659455194</v>
      </c>
      <c r="G28" s="107">
        <f t="shared" si="2"/>
        <v>1.7616508482368731</v>
      </c>
      <c r="H28" s="100">
        <f t="shared" si="3"/>
        <v>-2.3620548186476409</v>
      </c>
      <c r="I28" s="98">
        <f t="shared" si="0"/>
        <v>4.2234662550765023</v>
      </c>
      <c r="J28" s="99">
        <f t="shared" si="1"/>
        <v>106.47776359924244</v>
      </c>
      <c r="K28" s="15"/>
      <c r="L28" s="15"/>
      <c r="N28" s="78"/>
      <c r="O28" s="78"/>
    </row>
    <row r="29" spans="1:15" ht="13.5" customHeight="1">
      <c r="A29" s="36">
        <v>7003</v>
      </c>
      <c r="B29" s="87" t="s">
        <v>17</v>
      </c>
      <c r="C29" s="92">
        <f>DRG_08!H28/1000</f>
        <v>2890.9447050797089</v>
      </c>
      <c r="D29" s="90">
        <f>DRG_09!I28/1000</f>
        <v>3205.7404798015186</v>
      </c>
      <c r="E29" s="91">
        <f>DTD_08!G28/1000</f>
        <v>2922.3865867707027</v>
      </c>
      <c r="F29" s="91">
        <f>DTD_09!G28/1000</f>
        <v>3147.6001429982703</v>
      </c>
      <c r="G29" s="107">
        <f t="shared" si="2"/>
        <v>10.889027872746194</v>
      </c>
      <c r="H29" s="100">
        <f t="shared" si="3"/>
        <v>7.7064943169080635</v>
      </c>
      <c r="I29" s="98">
        <f t="shared" si="0"/>
        <v>2.9548204832236635</v>
      </c>
      <c r="J29" s="99">
        <f t="shared" si="1"/>
        <v>99.21748500404189</v>
      </c>
      <c r="K29" s="15"/>
      <c r="L29" s="15"/>
      <c r="N29" s="78"/>
      <c r="O29" s="78"/>
    </row>
    <row r="30" spans="1:15" ht="13.5" customHeight="1">
      <c r="A30" s="36">
        <v>7005</v>
      </c>
      <c r="B30" s="87" t="s">
        <v>18</v>
      </c>
      <c r="C30" s="92">
        <f>DRG_08!H29/1000</f>
        <v>1091.2324883410763</v>
      </c>
      <c r="D30" s="90">
        <f>DRG_09!I29/1000</f>
        <v>1194.7706204786414</v>
      </c>
      <c r="E30" s="91">
        <f>DTD_08!G29/1000</f>
        <v>987.52036398431233</v>
      </c>
      <c r="F30" s="91">
        <f>DTD_09!G29/1000</f>
        <v>1015.098408025131</v>
      </c>
      <c r="G30" s="107">
        <f t="shared" si="2"/>
        <v>9.488182696518388</v>
      </c>
      <c r="H30" s="100">
        <f t="shared" si="3"/>
        <v>2.7926557311234168</v>
      </c>
      <c r="I30" s="98">
        <f t="shared" si="0"/>
        <v>6.5136238749474273</v>
      </c>
      <c r="J30" s="99">
        <f t="shared" si="1"/>
        <v>114.66101909548637</v>
      </c>
      <c r="K30" s="15"/>
      <c r="L30" s="15"/>
      <c r="N30" s="78"/>
      <c r="O30" s="78"/>
    </row>
    <row r="31" spans="1:15" ht="13.5" customHeight="1">
      <c r="A31" s="36">
        <v>7026</v>
      </c>
      <c r="B31" s="87" t="s">
        <v>52</v>
      </c>
      <c r="C31" s="92">
        <f>DRG_08!H30/1000</f>
        <v>1694.089061043675</v>
      </c>
      <c r="D31" s="90">
        <f>DRG_09!I30/1000</f>
        <v>1831.4104795715243</v>
      </c>
      <c r="E31" s="91">
        <f>DTD_08!G30/1000</f>
        <v>1658.2273928846894</v>
      </c>
      <c r="F31" s="91">
        <f>DTD_09!G30/1000</f>
        <v>1738.4944342902998</v>
      </c>
      <c r="G31" s="107">
        <f t="shared" si="2"/>
        <v>8.1059149536831363</v>
      </c>
      <c r="H31" s="100">
        <f t="shared" si="3"/>
        <v>4.84053283343584</v>
      </c>
      <c r="I31" s="98">
        <f t="shared" si="0"/>
        <v>3.1146180127061385</v>
      </c>
      <c r="J31" s="99">
        <f t="shared" si="1"/>
        <v>102.62467615835511</v>
      </c>
      <c r="K31" s="15"/>
      <c r="L31" s="15"/>
      <c r="N31" s="78"/>
      <c r="O31" s="78"/>
    </row>
    <row r="32" spans="1:15" ht="13.5" customHeight="1">
      <c r="A32" s="36">
        <v>7601</v>
      </c>
      <c r="B32" s="87" t="s">
        <v>53</v>
      </c>
      <c r="C32" s="92">
        <f>DRG_08!H31/1000</f>
        <v>1422.4356767600866</v>
      </c>
      <c r="D32" s="90">
        <f>DRG_09!I31/1000</f>
        <v>1521.9480419238816</v>
      </c>
      <c r="E32" s="91">
        <f>DTD_08!G31/1000</f>
        <v>1404.653451849766</v>
      </c>
      <c r="F32" s="91">
        <f>DTD_09!G31/1000</f>
        <v>1523.5882232018644</v>
      </c>
      <c r="G32" s="107">
        <f t="shared" si="2"/>
        <v>6.9959131923952089</v>
      </c>
      <c r="H32" s="100">
        <f t="shared" si="3"/>
        <v>8.4671967448963983</v>
      </c>
      <c r="I32" s="98">
        <f t="shared" si="0"/>
        <v>-1.3564318030284239</v>
      </c>
      <c r="J32" s="99">
        <f t="shared" si="1"/>
        <v>97.313171905553858</v>
      </c>
      <c r="K32" s="15"/>
      <c r="L32" s="15"/>
      <c r="N32" s="78"/>
      <c r="O32" s="78"/>
    </row>
    <row r="33" spans="1:15" ht="13.5" customHeight="1">
      <c r="A33" s="36">
        <v>7603</v>
      </c>
      <c r="B33" s="87" t="s">
        <v>19</v>
      </c>
      <c r="C33" s="92">
        <f>DRG_08!H32/1000</f>
        <v>385.10897260641178</v>
      </c>
      <c r="D33" s="90">
        <f>DRG_09!I32/1000</f>
        <v>415.49017575316907</v>
      </c>
      <c r="E33" s="91">
        <f>DTD_08!G32/1000</f>
        <v>424.2264510284736</v>
      </c>
      <c r="F33" s="91">
        <f>DTD_09!G32/1000</f>
        <v>456.62203380484783</v>
      </c>
      <c r="G33" s="107">
        <f t="shared" si="2"/>
        <v>7.8889886520009611</v>
      </c>
      <c r="H33" s="100">
        <f t="shared" si="3"/>
        <v>7.6363891732436739</v>
      </c>
      <c r="I33" s="98">
        <f t="shared" si="0"/>
        <v>0.23467851411358431</v>
      </c>
      <c r="J33" s="99">
        <f t="shared" si="1"/>
        <v>88.642767100289959</v>
      </c>
      <c r="K33" s="15"/>
      <c r="L33" s="15"/>
      <c r="N33" s="78"/>
      <c r="O33" s="78"/>
    </row>
    <row r="34" spans="1:15" ht="13.5" customHeight="1">
      <c r="A34" s="36">
        <v>8001</v>
      </c>
      <c r="B34" s="87" t="s">
        <v>54</v>
      </c>
      <c r="C34" s="92">
        <f>DRG_08!H33/1000</f>
        <v>2637.888778804614</v>
      </c>
      <c r="D34" s="90">
        <f>DRG_09!I33/1000</f>
        <v>2915.0944311103267</v>
      </c>
      <c r="E34" s="91">
        <f>DTD_08!G33/1000</f>
        <v>2743.96510105692</v>
      </c>
      <c r="F34" s="91">
        <f>DTD_09!G33/1000</f>
        <v>2897.523448430773</v>
      </c>
      <c r="G34" s="107">
        <f t="shared" si="2"/>
        <v>10.508617896745864</v>
      </c>
      <c r="H34" s="100">
        <f t="shared" si="3"/>
        <v>5.5962208599047214</v>
      </c>
      <c r="I34" s="98">
        <f t="shared" si="0"/>
        <v>4.6520576180074213</v>
      </c>
      <c r="J34" s="99">
        <f t="shared" si="1"/>
        <v>98.008801385254458</v>
      </c>
      <c r="K34" s="15"/>
      <c r="L34" s="15"/>
      <c r="N34" s="78"/>
      <c r="O34" s="78"/>
    </row>
    <row r="35" spans="1:15" ht="13.5" customHeight="1">
      <c r="A35" s="36">
        <v>8003</v>
      </c>
      <c r="B35" s="87" t="s">
        <v>20</v>
      </c>
      <c r="C35" s="92">
        <f>DRG_08!H34/1000</f>
        <v>829.21293132866936</v>
      </c>
      <c r="D35" s="90">
        <f>DRG_09!I34/1000</f>
        <v>890.02934056429729</v>
      </c>
      <c r="E35" s="91">
        <f>DTD_08!G34/1000</f>
        <v>810.30105285454204</v>
      </c>
      <c r="F35" s="91">
        <f>DTD_09!G34/1000</f>
        <v>839.796250691056</v>
      </c>
      <c r="G35" s="107">
        <f t="shared" si="2"/>
        <v>7.3342330947709922</v>
      </c>
      <c r="H35" s="100">
        <f t="shared" si="3"/>
        <v>3.6400295584718467</v>
      </c>
      <c r="I35" s="98">
        <f t="shared" si="0"/>
        <v>3.5644562743152752</v>
      </c>
      <c r="J35" s="99">
        <f t="shared" si="1"/>
        <v>103.24518380097429</v>
      </c>
      <c r="K35" s="15"/>
      <c r="L35" s="15"/>
      <c r="N35" s="78"/>
      <c r="O35" s="78"/>
    </row>
    <row r="36" spans="1:15" ht="13.5" customHeight="1">
      <c r="A36" s="36">
        <v>8005</v>
      </c>
      <c r="B36" s="87" t="s">
        <v>21</v>
      </c>
      <c r="C36" s="92">
        <f>DRG_08!H35/1000</f>
        <v>207.75584440052751</v>
      </c>
      <c r="D36" s="90">
        <f>DRG_09!I35/1000</f>
        <v>221.43397996403883</v>
      </c>
      <c r="E36" s="91">
        <f>DTD_08!G35/1000</f>
        <v>229.0737662834257</v>
      </c>
      <c r="F36" s="91">
        <f>DTD_09!G35/1000</f>
        <v>246.34128594888105</v>
      </c>
      <c r="G36" s="107">
        <f t="shared" si="2"/>
        <v>6.5837548892928144</v>
      </c>
      <c r="H36" s="100">
        <f t="shared" si="3"/>
        <v>7.5379734421840316</v>
      </c>
      <c r="I36" s="98">
        <f t="shared" si="0"/>
        <v>-0.88733172324866327</v>
      </c>
      <c r="J36" s="99">
        <f t="shared" si="1"/>
        <v>87.568209764652465</v>
      </c>
      <c r="K36" s="15"/>
      <c r="L36" s="15"/>
      <c r="N36" s="78"/>
      <c r="O36" s="78"/>
    </row>
    <row r="37" spans="1:15" ht="13.5" customHeight="1">
      <c r="A37" s="39">
        <v>8040</v>
      </c>
      <c r="B37" s="88" t="s">
        <v>55</v>
      </c>
      <c r="C37" s="92">
        <f>DRG_08!H36/1000</f>
        <v>493.5621709434771</v>
      </c>
      <c r="D37" s="90">
        <f>DRG_09!I36/1000</f>
        <v>560.2764587223495</v>
      </c>
      <c r="E37" s="85">
        <f>DTD_08!G36/1000</f>
        <v>536.57287601600001</v>
      </c>
      <c r="F37" s="85">
        <f>DTD_09!G36/1000</f>
        <v>564.42802930383698</v>
      </c>
      <c r="G37" s="32">
        <f t="shared" si="2"/>
        <v>13.516896493777786</v>
      </c>
      <c r="H37" s="33">
        <f t="shared" si="3"/>
        <v>5.1913084937611265</v>
      </c>
      <c r="I37" s="34">
        <f t="shared" si="0"/>
        <v>7.9147109387943893</v>
      </c>
      <c r="J37" s="23">
        <f t="shared" si="1"/>
        <v>96.701500238001131</v>
      </c>
      <c r="K37" s="15"/>
      <c r="L37" s="15"/>
      <c r="N37" s="78"/>
      <c r="O37" s="78"/>
    </row>
    <row r="38" spans="1:15" ht="13.5" customHeight="1">
      <c r="A38" s="21"/>
      <c r="B38" s="22" t="s">
        <v>30</v>
      </c>
      <c r="C38" s="95">
        <f>DRG_08!H37/1000</f>
        <v>46970.94634000754</v>
      </c>
      <c r="D38" s="97">
        <f>DRG_09!I37/1000</f>
        <v>51343.716775996378</v>
      </c>
      <c r="E38" s="96">
        <f>DTD_08!G37/1000</f>
        <v>47698.796182404818</v>
      </c>
      <c r="F38" s="96">
        <f>DTD_09!G37/1000</f>
        <v>50018.045060182834</v>
      </c>
      <c r="G38" s="108">
        <f t="shared" si="2"/>
        <v>9.3095216867375097</v>
      </c>
      <c r="H38" s="109">
        <f t="shared" si="3"/>
        <v>4.8622796871203633</v>
      </c>
      <c r="I38" s="110">
        <f t="shared" si="0"/>
        <v>4.2410312010061846</v>
      </c>
      <c r="J38" s="23">
        <f t="shared" si="1"/>
        <v>100</v>
      </c>
      <c r="L38" s="15"/>
      <c r="N38" s="78"/>
      <c r="O38" s="78"/>
    </row>
    <row r="39" spans="1:15" ht="13.5" customHeight="1">
      <c r="A39" s="10"/>
      <c r="B39" s="11"/>
      <c r="C39" s="9"/>
      <c r="D39" s="9"/>
      <c r="E39" s="9"/>
      <c r="F39" s="9"/>
      <c r="G39" s="9"/>
      <c r="H39" s="9"/>
      <c r="I39" s="9"/>
      <c r="J39" s="9"/>
    </row>
    <row r="40" spans="1:15" ht="33.75" customHeight="1">
      <c r="A40" s="75"/>
      <c r="B40" s="17"/>
      <c r="C40" s="214" t="s">
        <v>33</v>
      </c>
      <c r="D40" s="215"/>
      <c r="E40" s="216" t="s">
        <v>65</v>
      </c>
      <c r="F40" s="217"/>
      <c r="G40" s="212" t="s">
        <v>71</v>
      </c>
      <c r="H40" s="213"/>
      <c r="I40" s="213"/>
      <c r="J40" s="30" t="s">
        <v>36</v>
      </c>
    </row>
    <row r="41" spans="1:15" ht="22.5">
      <c r="A41" s="18" t="s">
        <v>22</v>
      </c>
      <c r="B41" s="86" t="s">
        <v>0</v>
      </c>
      <c r="C41" s="93">
        <v>2008</v>
      </c>
      <c r="D41" s="114">
        <v>2009</v>
      </c>
      <c r="E41" s="94">
        <v>2008</v>
      </c>
      <c r="F41" s="94">
        <v>2009</v>
      </c>
      <c r="G41" s="101" t="s">
        <v>43</v>
      </c>
      <c r="H41" s="102" t="s">
        <v>34</v>
      </c>
      <c r="I41" s="103" t="s">
        <v>35</v>
      </c>
      <c r="J41" s="89">
        <v>2009</v>
      </c>
    </row>
    <row r="42" spans="1:15" ht="13.5" customHeight="1">
      <c r="B42" s="87" t="s">
        <v>44</v>
      </c>
      <c r="C42" s="92">
        <f>SUM(C6:C15)</f>
        <v>15954.825987064973</v>
      </c>
      <c r="D42" s="90">
        <f>SUM(D6:D15)</f>
        <v>17642.418311698762</v>
      </c>
      <c r="E42" s="91">
        <f>SUM(E6:E15)</f>
        <v>16754.286445048212</v>
      </c>
      <c r="F42" s="91">
        <f>SUM(F6:F15)</f>
        <v>17695.835366953732</v>
      </c>
      <c r="G42" s="107">
        <f t="shared" ref="G42:G47" si="4">(D42/C42-1)*100</f>
        <v>10.577315766414298</v>
      </c>
      <c r="H42" s="100">
        <f t="shared" ref="H42:H47" si="5">(F42/E42-1)*100</f>
        <v>5.6197494593020814</v>
      </c>
      <c r="I42" s="98">
        <f t="shared" ref="I42:I47" si="6">((D42/C42)/(F42/E42)-1)*100</f>
        <v>4.6937872249190438</v>
      </c>
      <c r="J42" s="99">
        <f t="shared" ref="J42:J43" si="7">(D42/F42)/($D$38/$F$38)*100</f>
        <v>97.123976547328766</v>
      </c>
    </row>
    <row r="43" spans="1:15" ht="13.5" customHeight="1">
      <c r="B43" s="87" t="s">
        <v>45</v>
      </c>
      <c r="C43" s="92">
        <f>SUM(C16:C17)</f>
        <v>5756.1005179430049</v>
      </c>
      <c r="D43" s="90">
        <f>SUM(D16:D17)</f>
        <v>6297.1741463498984</v>
      </c>
      <c r="E43" s="91">
        <f>SUM(E16:E17)</f>
        <v>6007.2642849804515</v>
      </c>
      <c r="F43" s="91">
        <f>SUM(F16:F17)</f>
        <v>6246.0734572682723</v>
      </c>
      <c r="G43" s="107">
        <f t="shared" si="4"/>
        <v>9.4000031222569937</v>
      </c>
      <c r="H43" s="100">
        <f t="shared" si="5"/>
        <v>3.9753398711772858</v>
      </c>
      <c r="I43" s="98">
        <f t="shared" si="6"/>
        <v>5.217259455752421</v>
      </c>
      <c r="J43" s="99">
        <f t="shared" si="7"/>
        <v>98.215046285441986</v>
      </c>
    </row>
    <row r="44" spans="1:15" ht="13.5" customHeight="1">
      <c r="B44" s="87" t="s">
        <v>46</v>
      </c>
      <c r="C44" s="92">
        <f>SUM(C18:C24)</f>
        <v>10308.086600502251</v>
      </c>
      <c r="D44" s="90">
        <f>SUM(D18:D24)</f>
        <v>11217.202521916983</v>
      </c>
      <c r="E44" s="91">
        <f>SUM(E18:E24)</f>
        <v>10000.797008417698</v>
      </c>
      <c r="F44" s="91">
        <f>SUM(F18:F24)</f>
        <v>10367.669956419582</v>
      </c>
      <c r="G44" s="107">
        <f t="shared" si="4"/>
        <v>8.8194439632514943</v>
      </c>
      <c r="H44" s="100">
        <f t="shared" si="5"/>
        <v>3.6684371024938045</v>
      </c>
      <c r="I44" s="98">
        <f t="shared" si="6"/>
        <v>4.9687320506867971</v>
      </c>
      <c r="J44" s="99">
        <f>(D44/F44)/($D$38/$F$38)*100</f>
        <v>105.40053295316201</v>
      </c>
    </row>
    <row r="45" spans="1:15" ht="13.5" customHeight="1">
      <c r="B45" s="87" t="s">
        <v>47</v>
      </c>
      <c r="C45" s="92">
        <f>SUM(C25:C32)</f>
        <v>10398.404536413618</v>
      </c>
      <c r="D45" s="90">
        <f>SUM(D25:D32)</f>
        <v>11184.597409916558</v>
      </c>
      <c r="E45" s="91">
        <f>SUM(E25:E32)</f>
        <v>10192.309196719089</v>
      </c>
      <c r="F45" s="91">
        <f>SUM(F25:F32)</f>
        <v>10703.75523136184</v>
      </c>
      <c r="G45" s="107">
        <f t="shared" si="4"/>
        <v>7.560706748326762</v>
      </c>
      <c r="H45" s="100">
        <f t="shared" si="5"/>
        <v>5.0179603539439954</v>
      </c>
      <c r="I45" s="98">
        <f t="shared" si="6"/>
        <v>2.4212490756941873</v>
      </c>
      <c r="J45" s="99">
        <f>(D45/F45)/($D$38/$F$38)*100</f>
        <v>101.79433190250387</v>
      </c>
    </row>
    <row r="46" spans="1:15" ht="13.5" customHeight="1">
      <c r="B46" s="87" t="s">
        <v>48</v>
      </c>
      <c r="C46" s="92">
        <f>SUM(C33:C37)</f>
        <v>4553.5286980837</v>
      </c>
      <c r="D46" s="90">
        <f>SUM(D33:D37)</f>
        <v>5002.3243861141809</v>
      </c>
      <c r="E46" s="91">
        <f>SUM(E33:E37)</f>
        <v>4744.1392472393609</v>
      </c>
      <c r="F46" s="91">
        <f>SUM(F33:F37)</f>
        <v>5004.7110481793952</v>
      </c>
      <c r="G46" s="107">
        <f t="shared" si="4"/>
        <v>9.8559977939603591</v>
      </c>
      <c r="H46" s="100">
        <f t="shared" si="5"/>
        <v>5.4924990047807487</v>
      </c>
      <c r="I46" s="98">
        <f t="shared" si="6"/>
        <v>4.1363118992771897</v>
      </c>
      <c r="J46" s="99">
        <f>(D46/F46)/($D$38/$F$38)*100</f>
        <v>97.371587877937671</v>
      </c>
    </row>
    <row r="47" spans="1:15" ht="13.5" customHeight="1">
      <c r="B47" s="111" t="s">
        <v>30</v>
      </c>
      <c r="C47" s="95">
        <f>SUM(C42:C46)</f>
        <v>46970.946340007547</v>
      </c>
      <c r="D47" s="97">
        <f>SUM(D42:D46)</f>
        <v>51343.716775996378</v>
      </c>
      <c r="E47" s="96">
        <f>SUM(E42:E46)</f>
        <v>47698.796182404811</v>
      </c>
      <c r="F47" s="96">
        <f>SUM(F42:F46)</f>
        <v>50018.04506018282</v>
      </c>
      <c r="G47" s="108">
        <f t="shared" si="4"/>
        <v>9.3095216867374866</v>
      </c>
      <c r="H47" s="109">
        <f t="shared" si="5"/>
        <v>4.8622796871203633</v>
      </c>
      <c r="I47" s="110">
        <f t="shared" si="6"/>
        <v>4.2410312010061624</v>
      </c>
      <c r="J47" s="112">
        <f>(D47/F47)/($D$38/$F$38)*100</f>
        <v>100.00000000000003</v>
      </c>
    </row>
    <row r="48" spans="1:15" ht="13.5" customHeight="1">
      <c r="C48" s="29"/>
    </row>
    <row r="49" spans="3:9" ht="13.5" customHeight="1"/>
    <row r="50" spans="3:9" ht="13.5" customHeight="1">
      <c r="C50" s="29"/>
      <c r="D50" s="29"/>
      <c r="E50" s="211"/>
      <c r="F50" s="211"/>
      <c r="G50" s="29"/>
      <c r="H50" s="29"/>
      <c r="I50" s="29"/>
    </row>
    <row r="51" spans="3:9" ht="13.5" customHeight="1">
      <c r="C51" s="29"/>
      <c r="D51" s="29"/>
      <c r="E51" s="211"/>
      <c r="F51" s="211"/>
      <c r="G51" s="29"/>
      <c r="H51" s="29"/>
      <c r="I51" s="29"/>
    </row>
    <row r="52" spans="3:9" ht="13.5" customHeight="1">
      <c r="C52" s="29"/>
      <c r="D52" s="29"/>
      <c r="E52" s="211"/>
      <c r="F52" s="211"/>
      <c r="G52" s="29"/>
      <c r="H52" s="29"/>
      <c r="I52" s="29"/>
    </row>
    <row r="53" spans="3:9" ht="13.5" customHeight="1">
      <c r="C53" s="29"/>
      <c r="D53" s="29"/>
      <c r="E53" s="211"/>
      <c r="F53" s="211"/>
      <c r="G53" s="29"/>
      <c r="H53" s="29"/>
      <c r="I53" s="29"/>
    </row>
    <row r="54" spans="3:9">
      <c r="C54" s="29"/>
      <c r="D54" s="29"/>
      <c r="E54" s="211"/>
      <c r="F54" s="211"/>
      <c r="G54" s="29"/>
      <c r="H54" s="29"/>
      <c r="I54" s="29"/>
    </row>
    <row r="55" spans="3:9">
      <c r="C55" s="29"/>
      <c r="D55" s="29"/>
      <c r="E55" s="211"/>
      <c r="F55" s="211"/>
      <c r="G55" s="29"/>
      <c r="H55" s="29"/>
      <c r="I55" s="29"/>
    </row>
  </sheetData>
  <mergeCells count="6">
    <mergeCell ref="G4:I4"/>
    <mergeCell ref="C4:D4"/>
    <mergeCell ref="E4:F4"/>
    <mergeCell ref="C40:D40"/>
    <mergeCell ref="E40:F40"/>
    <mergeCell ref="G40:I40"/>
  </mergeCells>
  <phoneticPr fontId="0" type="noConversion"/>
  <pageMargins left="0.52" right="0.43" top="0.52" bottom="0.19" header="0.23" footer="0.25"/>
  <pageSetup paperSize="9" scale="79" orientation="landscape" r:id="rId1"/>
  <headerFooter alignWithMargins="0">
    <oddHeader>&amp;CSide &amp;P /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53"/>
  <sheetViews>
    <sheetView zoomScaleNormal="100" zoomScaleSheetLayoutView="100" workbookViewId="0">
      <selection activeCell="B50" sqref="B50"/>
    </sheetView>
  </sheetViews>
  <sheetFormatPr defaultRowHeight="12"/>
  <cols>
    <col min="1" max="1" width="8.5703125" style="6" customWidth="1"/>
    <col min="2" max="2" width="39.28515625" style="6" customWidth="1"/>
    <col min="3" max="9" width="10" style="7" customWidth="1"/>
    <col min="10" max="10" width="19.28515625" style="7" customWidth="1"/>
    <col min="11" max="11" width="9.140625" style="6"/>
    <col min="12" max="12" width="13.85546875" style="6" customWidth="1"/>
    <col min="13" max="13" width="10.28515625" style="6" bestFit="1" customWidth="1"/>
    <col min="14" max="15" width="8.5703125" style="7" customWidth="1"/>
    <col min="16" max="17" width="9.140625" style="6"/>
    <col min="18" max="18" width="9.28515625" style="6" bestFit="1" customWidth="1"/>
    <col min="19" max="16384" width="9.140625" style="6"/>
  </cols>
  <sheetData>
    <row r="1" spans="1:22" ht="15.75">
      <c r="A1" s="8" t="str">
        <f>'Skema1-7_2008'!A1</f>
        <v>Bilag E til Løbende Offentliggørelse af Produktivitet i Sygehussektoren, 2008-2009. December 2010</v>
      </c>
      <c r="N1" s="4"/>
      <c r="O1" s="4"/>
      <c r="P1" s="3"/>
      <c r="Q1" s="3"/>
      <c r="R1" s="3"/>
      <c r="S1" s="3"/>
      <c r="T1" s="3"/>
    </row>
    <row r="2" spans="1:22" ht="13.5" customHeight="1">
      <c r="A2" s="80" t="s">
        <v>68</v>
      </c>
      <c r="E2" s="5"/>
      <c r="F2" s="5"/>
      <c r="G2" s="5"/>
      <c r="H2" s="4"/>
      <c r="I2" s="81"/>
      <c r="J2" s="4"/>
      <c r="N2" s="4"/>
      <c r="O2" s="4"/>
      <c r="P2" s="3"/>
      <c r="Q2" s="3"/>
      <c r="R2" s="3"/>
      <c r="S2" s="3"/>
      <c r="T2" s="3"/>
    </row>
    <row r="3" spans="1:22" ht="13.5" customHeight="1">
      <c r="A3" s="35" t="s">
        <v>60</v>
      </c>
      <c r="E3" s="5"/>
      <c r="F3" s="5"/>
      <c r="G3" s="5"/>
      <c r="H3" s="4"/>
      <c r="I3" s="5"/>
      <c r="J3" s="4"/>
      <c r="L3" s="130" t="s">
        <v>86</v>
      </c>
      <c r="N3" s="4"/>
      <c r="O3" s="4"/>
      <c r="P3" s="3"/>
      <c r="Q3" s="3"/>
      <c r="R3" s="3"/>
      <c r="S3" s="3"/>
      <c r="T3" s="3"/>
    </row>
    <row r="4" spans="1:22" ht="54" customHeight="1">
      <c r="A4" s="72" t="s">
        <v>22</v>
      </c>
      <c r="B4" s="72" t="s">
        <v>0</v>
      </c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12" t="s">
        <v>31</v>
      </c>
      <c r="L4" s="72"/>
      <c r="M4" s="205" t="s">
        <v>87</v>
      </c>
      <c r="N4" s="205" t="s">
        <v>94</v>
      </c>
      <c r="O4" s="205" t="s">
        <v>93</v>
      </c>
      <c r="P4" s="205" t="s">
        <v>89</v>
      </c>
      <c r="Q4" s="205" t="s">
        <v>92</v>
      </c>
      <c r="R4" s="205" t="s">
        <v>95</v>
      </c>
      <c r="S4" s="205" t="s">
        <v>96</v>
      </c>
      <c r="T4" s="3"/>
    </row>
    <row r="5" spans="1:22" ht="13.5" customHeight="1">
      <c r="A5" s="36">
        <v>1301</v>
      </c>
      <c r="B5" s="36" t="s">
        <v>1</v>
      </c>
      <c r="C5" s="37">
        <v>4199102</v>
      </c>
      <c r="D5" s="152">
        <f>227617+Q5</f>
        <v>240860.18780607692</v>
      </c>
      <c r="E5" s="37">
        <v>87542</v>
      </c>
      <c r="F5" s="37"/>
      <c r="G5" s="37">
        <v>25103</v>
      </c>
      <c r="H5" s="37">
        <v>-1558339</v>
      </c>
      <c r="I5" s="199">
        <f>7084+S5</f>
        <v>7074</v>
      </c>
      <c r="J5" s="73">
        <f>SUM(C5:E5)-SUM(F5:I5)</f>
        <v>6053666.1878060773</v>
      </c>
      <c r="L5" s="131"/>
      <c r="M5" s="171"/>
      <c r="N5" s="154"/>
      <c r="O5" s="154"/>
      <c r="P5" s="154"/>
      <c r="Q5" s="182">
        <v>13243.18780607693</v>
      </c>
      <c r="R5" s="154"/>
      <c r="S5" s="206">
        <v>-10</v>
      </c>
      <c r="T5" s="166"/>
      <c r="U5" s="167"/>
      <c r="V5" s="167"/>
    </row>
    <row r="6" spans="1:22" ht="13.5" customHeight="1">
      <c r="A6" s="36">
        <v>1309</v>
      </c>
      <c r="B6" s="36" t="s">
        <v>2</v>
      </c>
      <c r="C6" s="37">
        <v>1500214</v>
      </c>
      <c r="D6" s="152">
        <f>32962+Q6</f>
        <v>37693.396320286076</v>
      </c>
      <c r="E6" s="37">
        <v>31323</v>
      </c>
      <c r="F6" s="37"/>
      <c r="G6" s="37">
        <v>6143</v>
      </c>
      <c r="H6" s="37">
        <v>-9588</v>
      </c>
      <c r="I6" s="199">
        <f>34756+S6</f>
        <v>-20974.476463196028</v>
      </c>
      <c r="J6" s="73">
        <f t="shared" ref="J6:J36" si="0">SUM(C6:E6)-SUM(F6:I6)</f>
        <v>1593649.8727834821</v>
      </c>
      <c r="L6" s="134"/>
      <c r="M6" s="172"/>
      <c r="N6" s="173"/>
      <c r="O6" s="173"/>
      <c r="P6" s="173"/>
      <c r="Q6" s="183">
        <v>4731.396320286075</v>
      </c>
      <c r="R6" s="156"/>
      <c r="S6" s="207">
        <v>-55730.476463196028</v>
      </c>
      <c r="T6" s="3"/>
    </row>
    <row r="7" spans="1:22" ht="13.5" customHeight="1">
      <c r="A7" s="36">
        <v>1330</v>
      </c>
      <c r="B7" s="36" t="s">
        <v>3</v>
      </c>
      <c r="C7" s="37">
        <v>2108646</v>
      </c>
      <c r="D7" s="152">
        <f>72450+Q7</f>
        <v>79100.277843818243</v>
      </c>
      <c r="E7" s="37">
        <v>44315</v>
      </c>
      <c r="F7" s="37"/>
      <c r="G7" s="37">
        <v>1363</v>
      </c>
      <c r="H7" s="185">
        <f>+-102656+R7</f>
        <v>-81398</v>
      </c>
      <c r="I7" s="199">
        <f>-49610+S7</f>
        <v>5778.6360980814934</v>
      </c>
      <c r="J7" s="73">
        <f t="shared" si="0"/>
        <v>2306317.6417457364</v>
      </c>
      <c r="L7" s="134"/>
      <c r="M7" s="172"/>
      <c r="N7" s="173"/>
      <c r="O7" s="173"/>
      <c r="P7" s="173"/>
      <c r="Q7" s="183">
        <v>6650.2778438182486</v>
      </c>
      <c r="R7" s="200">
        <v>21258</v>
      </c>
      <c r="S7" s="207">
        <v>55388.636098081493</v>
      </c>
      <c r="T7" s="3"/>
    </row>
    <row r="8" spans="1:22" ht="13.5" customHeight="1">
      <c r="A8" s="36">
        <v>1351</v>
      </c>
      <c r="B8" s="36" t="s">
        <v>4</v>
      </c>
      <c r="C8" s="37">
        <v>380032</v>
      </c>
      <c r="D8" s="152">
        <f>10417+Q8</f>
        <v>11615.550344411502</v>
      </c>
      <c r="E8" s="37">
        <v>7987</v>
      </c>
      <c r="F8" s="37"/>
      <c r="G8" s="37">
        <v>324</v>
      </c>
      <c r="H8" s="37">
        <v>16390</v>
      </c>
      <c r="I8" s="199">
        <f>-327+S8</f>
        <v>-313.21627797397298</v>
      </c>
      <c r="J8" s="73">
        <f t="shared" si="0"/>
        <v>383233.76662238548</v>
      </c>
      <c r="L8" s="134"/>
      <c r="M8" s="172"/>
      <c r="N8" s="173"/>
      <c r="O8" s="173"/>
      <c r="P8" s="173"/>
      <c r="Q8" s="183">
        <v>1198.5503444115025</v>
      </c>
      <c r="R8" s="201"/>
      <c r="S8" s="207">
        <v>13.783722026027021</v>
      </c>
      <c r="T8" s="3"/>
    </row>
    <row r="9" spans="1:22" ht="13.5" customHeight="1">
      <c r="A9" s="36">
        <v>1401</v>
      </c>
      <c r="B9" s="36" t="s">
        <v>5</v>
      </c>
      <c r="C9" s="37">
        <v>652468</v>
      </c>
      <c r="D9" s="152">
        <f>20364+Q9</f>
        <v>22421.762888697489</v>
      </c>
      <c r="E9" s="37">
        <v>13711</v>
      </c>
      <c r="F9" s="37"/>
      <c r="G9" s="37">
        <v>0</v>
      </c>
      <c r="H9" s="185">
        <f>+-29174+R9</f>
        <v>-7069</v>
      </c>
      <c r="I9" s="199">
        <f>-6864+S9</f>
        <v>-16537.329113851185</v>
      </c>
      <c r="J9" s="73">
        <f t="shared" si="0"/>
        <v>712207.09200254863</v>
      </c>
      <c r="L9" s="134"/>
      <c r="M9" s="172"/>
      <c r="N9" s="173"/>
      <c r="O9" s="173"/>
      <c r="P9" s="173"/>
      <c r="Q9" s="183">
        <v>2057.762888697489</v>
      </c>
      <c r="R9" s="200">
        <v>22105</v>
      </c>
      <c r="S9" s="207">
        <v>-9673.329113851185</v>
      </c>
      <c r="T9" s="3"/>
    </row>
    <row r="10" spans="1:22" ht="13.5" customHeight="1">
      <c r="A10" s="36">
        <v>1501</v>
      </c>
      <c r="B10" s="36" t="s">
        <v>6</v>
      </c>
      <c r="C10" s="37">
        <v>1221130</v>
      </c>
      <c r="D10" s="152">
        <f>35745+Q10</f>
        <v>39596.217218737416</v>
      </c>
      <c r="E10" s="37">
        <v>25663</v>
      </c>
      <c r="F10" s="37"/>
      <c r="G10" s="37">
        <v>1744</v>
      </c>
      <c r="H10" s="37">
        <v>-76125</v>
      </c>
      <c r="I10" s="199">
        <f>-47413+S10</f>
        <v>-46040.402239929099</v>
      </c>
      <c r="J10" s="73">
        <f t="shared" si="0"/>
        <v>1406810.6194586665</v>
      </c>
      <c r="L10" s="134"/>
      <c r="M10" s="172"/>
      <c r="N10" s="173"/>
      <c r="O10" s="173"/>
      <c r="P10" s="173"/>
      <c r="Q10" s="183">
        <v>3851.2172187374163</v>
      </c>
      <c r="R10" s="201"/>
      <c r="S10" s="207">
        <v>1372.5977600709011</v>
      </c>
      <c r="T10" s="3"/>
    </row>
    <row r="11" spans="1:22" ht="13.5" customHeight="1">
      <c r="A11" s="36">
        <v>1502</v>
      </c>
      <c r="B11" s="36" t="s">
        <v>7</v>
      </c>
      <c r="C11" s="37">
        <v>1353914</v>
      </c>
      <c r="D11" s="152">
        <f>40172+Q11</f>
        <v>44441.993292679443</v>
      </c>
      <c r="E11" s="37">
        <v>28453</v>
      </c>
      <c r="F11" s="37"/>
      <c r="G11" s="37">
        <v>0</v>
      </c>
      <c r="H11" s="185">
        <f>-86478+R11</f>
        <v>-97334</v>
      </c>
      <c r="I11" s="199">
        <f>51177+S11</f>
        <v>57920.085279700739</v>
      </c>
      <c r="J11" s="73">
        <f t="shared" si="0"/>
        <v>1466222.9080129787</v>
      </c>
      <c r="L11" s="134"/>
      <c r="M11" s="172"/>
      <c r="N11" s="173"/>
      <c r="O11" s="173"/>
      <c r="P11" s="173"/>
      <c r="Q11" s="183">
        <v>4269.9932926794445</v>
      </c>
      <c r="R11" s="200">
        <v>-10856</v>
      </c>
      <c r="S11" s="207">
        <v>6743.0852797007392</v>
      </c>
      <c r="T11" s="3"/>
    </row>
    <row r="12" spans="1:22" ht="13.5" customHeight="1">
      <c r="A12" s="36">
        <v>1516</v>
      </c>
      <c r="B12" s="36" t="s">
        <v>8</v>
      </c>
      <c r="C12" s="37">
        <v>2682130</v>
      </c>
      <c r="D12" s="152">
        <f>118644+Q12</f>
        <v>127102.93986626501</v>
      </c>
      <c r="E12" s="37">
        <v>56367</v>
      </c>
      <c r="F12" s="37"/>
      <c r="G12" s="37">
        <v>12005</v>
      </c>
      <c r="H12" s="37">
        <v>-52486</v>
      </c>
      <c r="I12" s="199">
        <f>21573+S12</f>
        <v>19269.24097406818</v>
      </c>
      <c r="J12" s="73">
        <f t="shared" si="0"/>
        <v>2886811.6988921966</v>
      </c>
      <c r="L12" s="134"/>
      <c r="M12" s="172"/>
      <c r="N12" s="173"/>
      <c r="O12" s="173"/>
      <c r="P12" s="173"/>
      <c r="Q12" s="183">
        <v>8458.9398662650055</v>
      </c>
      <c r="R12" s="156"/>
      <c r="S12" s="207">
        <v>-2303.7590259318204</v>
      </c>
      <c r="T12" s="3"/>
    </row>
    <row r="13" spans="1:22" ht="13.5" customHeight="1">
      <c r="A13" s="36">
        <v>2000</v>
      </c>
      <c r="B13" s="36" t="s">
        <v>9</v>
      </c>
      <c r="C13" s="37">
        <v>2642650</v>
      </c>
      <c r="D13" s="152">
        <f>89783+Q13</f>
        <v>98117.427278910865</v>
      </c>
      <c r="E13" s="37">
        <v>55537</v>
      </c>
      <c r="F13" s="37"/>
      <c r="G13" s="37">
        <v>314</v>
      </c>
      <c r="H13" s="37">
        <v>141533</v>
      </c>
      <c r="I13" s="199">
        <f>274+S13</f>
        <v>3468.5703697844447</v>
      </c>
      <c r="J13" s="73">
        <f t="shared" si="0"/>
        <v>2650988.8569091265</v>
      </c>
      <c r="L13" s="134"/>
      <c r="M13" s="172"/>
      <c r="N13" s="173"/>
      <c r="O13" s="173"/>
      <c r="P13" s="173"/>
      <c r="Q13" s="183">
        <v>8334.4272789108709</v>
      </c>
      <c r="R13" s="156"/>
      <c r="S13" s="207">
        <v>3194.5703697844447</v>
      </c>
      <c r="T13" s="3"/>
    </row>
    <row r="14" spans="1:22" ht="13.5" customHeight="1">
      <c r="A14" s="36">
        <v>4001</v>
      </c>
      <c r="B14" s="36" t="s">
        <v>11</v>
      </c>
      <c r="C14" s="37">
        <v>374009</v>
      </c>
      <c r="D14" s="152">
        <f>8652+Q14</f>
        <v>9831.5549210671779</v>
      </c>
      <c r="E14" s="37">
        <v>7860</v>
      </c>
      <c r="F14" s="37"/>
      <c r="G14" s="37">
        <v>39</v>
      </c>
      <c r="H14" s="37">
        <v>21383</v>
      </c>
      <c r="I14" s="199">
        <v>-1646</v>
      </c>
      <c r="J14" s="73">
        <f t="shared" si="0"/>
        <v>371924.5549210672</v>
      </c>
      <c r="L14" s="134"/>
      <c r="M14" s="172"/>
      <c r="N14" s="173"/>
      <c r="O14" s="173"/>
      <c r="P14" s="173"/>
      <c r="Q14" s="183">
        <v>1179.5549210671775</v>
      </c>
      <c r="R14" s="156"/>
      <c r="S14" s="207">
        <v>0.10249999999996362</v>
      </c>
      <c r="T14" s="3"/>
    </row>
    <row r="15" spans="1:22" ht="13.5" customHeight="1">
      <c r="A15" s="36">
        <v>2500</v>
      </c>
      <c r="B15" s="36" t="s">
        <v>10</v>
      </c>
      <c r="C15" s="38">
        <v>3270592</v>
      </c>
      <c r="D15" s="38">
        <v>98479</v>
      </c>
      <c r="E15" s="38">
        <v>123518</v>
      </c>
      <c r="F15" s="38">
        <v>10674</v>
      </c>
      <c r="G15" s="38">
        <v>10455</v>
      </c>
      <c r="H15" s="38">
        <v>117567</v>
      </c>
      <c r="I15" s="38">
        <v>16854</v>
      </c>
      <c r="J15" s="73">
        <f t="shared" si="0"/>
        <v>3337039</v>
      </c>
      <c r="L15" s="134"/>
      <c r="M15" s="172"/>
      <c r="N15" s="173"/>
      <c r="O15" s="173"/>
      <c r="P15" s="173"/>
      <c r="Q15" s="173"/>
      <c r="R15" s="156"/>
      <c r="S15" s="136"/>
      <c r="T15" s="3"/>
    </row>
    <row r="16" spans="1:22" ht="13.5" customHeight="1">
      <c r="A16" s="36">
        <v>2501</v>
      </c>
      <c r="B16" s="36" t="s">
        <v>56</v>
      </c>
      <c r="C16" s="38">
        <v>3232277</v>
      </c>
      <c r="D16" s="38">
        <v>95340</v>
      </c>
      <c r="E16" s="38">
        <v>126317</v>
      </c>
      <c r="F16" s="38">
        <v>3327</v>
      </c>
      <c r="G16" s="38">
        <v>28656</v>
      </c>
      <c r="H16" s="38">
        <v>111068</v>
      </c>
      <c r="I16" s="38">
        <v>-16733</v>
      </c>
      <c r="J16" s="73">
        <f t="shared" si="0"/>
        <v>3327616</v>
      </c>
      <c r="L16" s="134"/>
      <c r="M16" s="172"/>
      <c r="N16" s="173"/>
      <c r="O16" s="173"/>
      <c r="P16" s="173"/>
      <c r="Q16" s="173"/>
      <c r="R16" s="156"/>
      <c r="S16" s="136"/>
      <c r="T16" s="3"/>
    </row>
    <row r="17" spans="1:20" ht="13.5" customHeight="1">
      <c r="A17" s="36">
        <v>4202</v>
      </c>
      <c r="B17" s="36" t="s">
        <v>12</v>
      </c>
      <c r="C17" s="37">
        <v>4238983</v>
      </c>
      <c r="D17" s="147">
        <f>75673+O17</f>
        <v>93295.144435840004</v>
      </c>
      <c r="E17" s="37">
        <v>89091</v>
      </c>
      <c r="F17" s="37">
        <v>3001</v>
      </c>
      <c r="G17" s="37">
        <v>20601</v>
      </c>
      <c r="H17" s="37">
        <v>154257</v>
      </c>
      <c r="I17" s="37">
        <v>20981</v>
      </c>
      <c r="J17" s="73">
        <f t="shared" si="0"/>
        <v>4222529.1444358397</v>
      </c>
      <c r="L17" s="134" t="s">
        <v>91</v>
      </c>
      <c r="M17" s="187">
        <v>0.38080000000000003</v>
      </c>
      <c r="N17" s="159"/>
      <c r="O17" s="186">
        <f>$O$41*M17</f>
        <v>17622.14443584</v>
      </c>
      <c r="P17" s="159"/>
      <c r="Q17" s="159"/>
      <c r="R17" s="156"/>
      <c r="S17" s="136"/>
      <c r="T17" s="3"/>
    </row>
    <row r="18" spans="1:20" ht="13.5" customHeight="1">
      <c r="A18" s="36">
        <v>4212</v>
      </c>
      <c r="B18" s="36" t="s">
        <v>50</v>
      </c>
      <c r="C18" s="37">
        <v>1062552</v>
      </c>
      <c r="D18" s="147">
        <f>17919+O18</f>
        <v>22093.152909960001</v>
      </c>
      <c r="E18" s="37">
        <v>21098</v>
      </c>
      <c r="F18" s="37">
        <v>2963</v>
      </c>
      <c r="G18" s="37">
        <v>3278</v>
      </c>
      <c r="H18" s="37">
        <v>36279</v>
      </c>
      <c r="I18" s="37">
        <v>-19272</v>
      </c>
      <c r="J18" s="73">
        <f t="shared" si="0"/>
        <v>1082495.1529099599</v>
      </c>
      <c r="L18" s="134"/>
      <c r="M18" s="187">
        <v>9.0200000000000002E-2</v>
      </c>
      <c r="N18" s="159"/>
      <c r="O18" s="186">
        <f t="shared" ref="O18:O23" si="1">$O$41*M18</f>
        <v>4174.1529099600002</v>
      </c>
      <c r="P18" s="159"/>
      <c r="Q18" s="159"/>
      <c r="R18" s="202"/>
      <c r="S18" s="136"/>
      <c r="T18" s="3"/>
    </row>
    <row r="19" spans="1:20" ht="13.5" customHeight="1">
      <c r="A19" s="36">
        <v>5000</v>
      </c>
      <c r="B19" s="36" t="s">
        <v>57</v>
      </c>
      <c r="C19" s="37">
        <v>1734279</v>
      </c>
      <c r="D19" s="147">
        <f>29898+O19</f>
        <v>36862.634289900001</v>
      </c>
      <c r="E19" s="37">
        <v>35198</v>
      </c>
      <c r="F19" s="37"/>
      <c r="G19" s="37">
        <v>2023</v>
      </c>
      <c r="H19" s="37">
        <v>80220</v>
      </c>
      <c r="I19" s="37">
        <v>-2856</v>
      </c>
      <c r="J19" s="73">
        <f t="shared" si="0"/>
        <v>1726952.6342899001</v>
      </c>
      <c r="L19" s="134"/>
      <c r="M19" s="187">
        <v>0.15049999999999999</v>
      </c>
      <c r="N19" s="159"/>
      <c r="O19" s="186">
        <f t="shared" si="1"/>
        <v>6964.6342898999992</v>
      </c>
      <c r="P19" s="159"/>
      <c r="Q19" s="159"/>
      <c r="R19" s="202"/>
      <c r="S19" s="136"/>
      <c r="T19" s="3"/>
    </row>
    <row r="20" spans="1:20" ht="13.5" customHeight="1">
      <c r="A20" s="36">
        <v>5501</v>
      </c>
      <c r="B20" s="36" t="s">
        <v>13</v>
      </c>
      <c r="C20" s="37">
        <v>1610154</v>
      </c>
      <c r="D20" s="147">
        <f>27226+O20</f>
        <v>33565.899652599997</v>
      </c>
      <c r="E20" s="37">
        <v>32053</v>
      </c>
      <c r="F20" s="37">
        <v>3652</v>
      </c>
      <c r="G20" s="37">
        <v>1347</v>
      </c>
      <c r="H20" s="37">
        <v>63197</v>
      </c>
      <c r="I20" s="37">
        <v>-2496</v>
      </c>
      <c r="J20" s="73">
        <f t="shared" si="0"/>
        <v>1610072.8996526001</v>
      </c>
      <c r="L20" s="134"/>
      <c r="M20" s="187">
        <v>0.13700000000000001</v>
      </c>
      <c r="N20" s="159"/>
      <c r="O20" s="186">
        <f t="shared" si="1"/>
        <v>6339.8996526000001</v>
      </c>
      <c r="P20" s="159"/>
      <c r="Q20" s="159"/>
      <c r="R20" s="202"/>
      <c r="S20" s="136"/>
      <c r="T20" s="3"/>
    </row>
    <row r="21" spans="1:20" ht="13.5" customHeight="1">
      <c r="A21" s="36">
        <v>6007</v>
      </c>
      <c r="B21" s="36" t="s">
        <v>14</v>
      </c>
      <c r="C21" s="37">
        <v>1238636</v>
      </c>
      <c r="D21" s="147">
        <f>21379+O21</f>
        <v>26358.366442480001</v>
      </c>
      <c r="E21" s="37">
        <v>25170</v>
      </c>
      <c r="F21" s="37">
        <v>0</v>
      </c>
      <c r="G21" s="37">
        <v>2220</v>
      </c>
      <c r="H21" s="37">
        <v>67302</v>
      </c>
      <c r="I21" s="37">
        <v>-13459</v>
      </c>
      <c r="J21" s="73">
        <f t="shared" si="0"/>
        <v>1234101.3664424799</v>
      </c>
      <c r="L21" s="134"/>
      <c r="M21" s="187">
        <v>0.1076</v>
      </c>
      <c r="N21" s="159"/>
      <c r="O21" s="186">
        <f t="shared" si="1"/>
        <v>4979.3664424799999</v>
      </c>
      <c r="P21" s="159"/>
      <c r="Q21" s="159"/>
      <c r="R21" s="202"/>
      <c r="S21" s="136"/>
      <c r="T21" s="3"/>
    </row>
    <row r="22" spans="1:20" ht="13.5" customHeight="1">
      <c r="A22" s="36">
        <v>6008</v>
      </c>
      <c r="B22" s="36" t="s">
        <v>85</v>
      </c>
      <c r="C22" s="37">
        <v>1437153</v>
      </c>
      <c r="D22" s="147">
        <f>25580+O22</f>
        <v>31535.803542260001</v>
      </c>
      <c r="E22" s="37">
        <v>30115</v>
      </c>
      <c r="F22" s="37">
        <v>0</v>
      </c>
      <c r="G22" s="37">
        <v>5491</v>
      </c>
      <c r="H22" s="37">
        <v>106268</v>
      </c>
      <c r="I22" s="37">
        <v>24594</v>
      </c>
      <c r="J22" s="73">
        <f t="shared" si="0"/>
        <v>1362450.8035422601</v>
      </c>
      <c r="L22" s="134"/>
      <c r="M22" s="187">
        <v>0.12870000000000001</v>
      </c>
      <c r="N22" s="159"/>
      <c r="O22" s="186">
        <f t="shared" si="1"/>
        <v>5955.8035422599996</v>
      </c>
      <c r="P22" s="159"/>
      <c r="Q22" s="159"/>
      <c r="R22" s="156"/>
      <c r="S22" s="136"/>
      <c r="T22" s="3"/>
    </row>
    <row r="23" spans="1:20" ht="13.5" customHeight="1">
      <c r="A23" s="36">
        <v>6013</v>
      </c>
      <c r="B23" s="36" t="s">
        <v>73</v>
      </c>
      <c r="C23" s="37">
        <v>62059</v>
      </c>
      <c r="D23" s="147">
        <f>1028+O23</f>
        <v>1268.63852696</v>
      </c>
      <c r="E23" s="37">
        <v>1209</v>
      </c>
      <c r="F23" s="37"/>
      <c r="G23" s="37"/>
      <c r="H23" s="37"/>
      <c r="I23" s="37">
        <v>1</v>
      </c>
      <c r="J23" s="73">
        <f t="shared" si="0"/>
        <v>64535.63852696</v>
      </c>
      <c r="L23" s="134"/>
      <c r="M23" s="187">
        <v>5.1999999999999998E-3</v>
      </c>
      <c r="N23" s="159"/>
      <c r="O23" s="186">
        <f t="shared" si="1"/>
        <v>240.63852695999998</v>
      </c>
      <c r="P23" s="159"/>
      <c r="Q23" s="159"/>
      <c r="R23" s="156"/>
      <c r="S23" s="136"/>
      <c r="T23" s="3"/>
    </row>
    <row r="24" spans="1:20" ht="13.5" customHeight="1">
      <c r="A24" s="36">
        <v>6014</v>
      </c>
      <c r="B24" s="36" t="s">
        <v>74</v>
      </c>
      <c r="C24" s="37">
        <v>48737</v>
      </c>
      <c r="D24" s="191">
        <f>1815+N24</f>
        <v>1632.5525745296957</v>
      </c>
      <c r="E24" s="189">
        <f>1488+P24</f>
        <v>1219</v>
      </c>
      <c r="F24" s="37"/>
      <c r="G24" s="37">
        <v>5</v>
      </c>
      <c r="H24" s="37"/>
      <c r="I24" s="37">
        <v>-2158</v>
      </c>
      <c r="J24" s="73">
        <f t="shared" si="0"/>
        <v>53741.552574529698</v>
      </c>
      <c r="L24" s="134" t="s">
        <v>88</v>
      </c>
      <c r="M24" s="194">
        <f t="shared" ref="M24:M31" si="2">C24/$C$42</f>
        <v>4.2038577297305131E-3</v>
      </c>
      <c r="N24" s="193">
        <f>M24*$M$42</f>
        <v>-182.44742547030427</v>
      </c>
      <c r="O24" s="174"/>
      <c r="P24" s="198">
        <v>-269</v>
      </c>
      <c r="Q24" s="174"/>
      <c r="R24" s="203"/>
      <c r="S24" s="136"/>
      <c r="T24" s="3"/>
    </row>
    <row r="25" spans="1:20" ht="13.5" customHeight="1">
      <c r="A25" s="36">
        <v>6006</v>
      </c>
      <c r="B25" s="36" t="s">
        <v>51</v>
      </c>
      <c r="C25" s="37">
        <v>795823</v>
      </c>
      <c r="D25" s="191">
        <f>35654+N25</f>
        <v>32674.828990704107</v>
      </c>
      <c r="E25" s="189">
        <f>24711+P25</f>
        <v>20312</v>
      </c>
      <c r="F25" s="37"/>
      <c r="G25" s="37">
        <v>126</v>
      </c>
      <c r="H25" s="37">
        <v>22122</v>
      </c>
      <c r="I25" s="37">
        <v>-589</v>
      </c>
      <c r="J25" s="73">
        <f t="shared" si="0"/>
        <v>827150.82899070415</v>
      </c>
      <c r="L25" s="134"/>
      <c r="M25" s="194">
        <f t="shared" si="2"/>
        <v>6.8644493301748696E-2</v>
      </c>
      <c r="N25" s="193">
        <f t="shared" ref="N25:N31" si="3">M25*$M$42</f>
        <v>-2979.1710092958933</v>
      </c>
      <c r="O25" s="174"/>
      <c r="P25" s="198">
        <v>-4399</v>
      </c>
      <c r="Q25" s="174"/>
      <c r="R25" s="204"/>
      <c r="S25" s="136"/>
      <c r="T25" s="3"/>
    </row>
    <row r="26" spans="1:20" ht="13.5" customHeight="1">
      <c r="A26" s="36">
        <v>6500</v>
      </c>
      <c r="B26" s="36" t="s">
        <v>15</v>
      </c>
      <c r="C26" s="37">
        <v>1989813</v>
      </c>
      <c r="D26" s="191">
        <f>72461+N26</f>
        <v>65012.116010067453</v>
      </c>
      <c r="E26" s="189">
        <f>62256+P26</f>
        <v>51257</v>
      </c>
      <c r="F26" s="37"/>
      <c r="G26" s="37">
        <v>3912</v>
      </c>
      <c r="H26" s="37">
        <v>120127</v>
      </c>
      <c r="I26" s="37">
        <v>2495</v>
      </c>
      <c r="J26" s="73">
        <f t="shared" si="0"/>
        <v>1979548.1160100675</v>
      </c>
      <c r="L26" s="134"/>
      <c r="M26" s="194">
        <f t="shared" si="2"/>
        <v>0.17163327165743195</v>
      </c>
      <c r="N26" s="193">
        <f>M26*$M$42</f>
        <v>-7448.8839899325467</v>
      </c>
      <c r="O26" s="174"/>
      <c r="P26" s="198">
        <v>-10999</v>
      </c>
      <c r="Q26" s="174"/>
      <c r="R26" s="204"/>
      <c r="S26" s="136"/>
      <c r="T26" s="3"/>
    </row>
    <row r="27" spans="1:20" ht="13.5" customHeight="1">
      <c r="A27" s="36">
        <v>7002</v>
      </c>
      <c r="B27" s="36" t="s">
        <v>16</v>
      </c>
      <c r="C27" s="37">
        <v>632641</v>
      </c>
      <c r="D27" s="191">
        <f>37298+N27</f>
        <v>34929.702367873302</v>
      </c>
      <c r="E27" s="189">
        <f>19157+P27</f>
        <v>15660</v>
      </c>
      <c r="F27" s="37">
        <v>2235</v>
      </c>
      <c r="G27" s="37">
        <v>283</v>
      </c>
      <c r="H27" s="37">
        <v>29187</v>
      </c>
      <c r="I27" s="37">
        <v>26598</v>
      </c>
      <c r="J27" s="73">
        <f t="shared" si="0"/>
        <v>624927.70236787328</v>
      </c>
      <c r="L27" s="134"/>
      <c r="M27" s="194">
        <f t="shared" si="2"/>
        <v>5.4569069864670403E-2</v>
      </c>
      <c r="N27" s="193">
        <f t="shared" si="3"/>
        <v>-2368.2976321266956</v>
      </c>
      <c r="O27" s="174"/>
      <c r="P27" s="198">
        <v>-3497</v>
      </c>
      <c r="Q27" s="174"/>
      <c r="R27" s="204"/>
      <c r="S27" s="136"/>
      <c r="T27" s="3"/>
    </row>
    <row r="28" spans="1:20" ht="13.5" customHeight="1">
      <c r="A28" s="36">
        <v>7003</v>
      </c>
      <c r="B28" s="36" t="s">
        <v>17</v>
      </c>
      <c r="C28" s="37">
        <v>3545423</v>
      </c>
      <c r="D28" s="191">
        <f>171641+N28</f>
        <v>158368.67510201278</v>
      </c>
      <c r="E28" s="189">
        <f>113125+P28</f>
        <v>93528</v>
      </c>
      <c r="F28" s="37"/>
      <c r="G28" s="37">
        <v>5591</v>
      </c>
      <c r="H28" s="37">
        <v>63780</v>
      </c>
      <c r="I28" s="37">
        <v>-3574</v>
      </c>
      <c r="J28" s="73">
        <f t="shared" si="0"/>
        <v>3731522.6751020127</v>
      </c>
      <c r="L28" s="134"/>
      <c r="M28" s="194">
        <f t="shared" si="2"/>
        <v>0.30581393774164073</v>
      </c>
      <c r="N28" s="193">
        <f t="shared" si="3"/>
        <v>-13272.324897987208</v>
      </c>
      <c r="O28" s="174"/>
      <c r="P28" s="198">
        <v>-19597</v>
      </c>
      <c r="Q28" s="174"/>
      <c r="R28" s="204"/>
      <c r="S28" s="136"/>
      <c r="T28" s="3"/>
    </row>
    <row r="29" spans="1:20" ht="13.5" customHeight="1">
      <c r="A29" s="36">
        <v>7005</v>
      </c>
      <c r="B29" s="36" t="s">
        <v>18</v>
      </c>
      <c r="C29" s="37">
        <v>994212</v>
      </c>
      <c r="D29" s="191">
        <f>46455+N29</f>
        <v>42733.157872423784</v>
      </c>
      <c r="E29" s="189">
        <f>30678+P29</f>
        <v>25182</v>
      </c>
      <c r="F29" s="37">
        <v>5928</v>
      </c>
      <c r="G29" s="37">
        <v>559</v>
      </c>
      <c r="H29" s="37">
        <v>37692</v>
      </c>
      <c r="I29" s="37">
        <v>-26582</v>
      </c>
      <c r="J29" s="73">
        <f t="shared" si="0"/>
        <v>1044530.1578724238</v>
      </c>
      <c r="L29" s="134"/>
      <c r="M29" s="194">
        <f t="shared" si="2"/>
        <v>8.5756731050143281E-2</v>
      </c>
      <c r="N29" s="193">
        <f t="shared" si="3"/>
        <v>-3721.8421275762184</v>
      </c>
      <c r="O29" s="174"/>
      <c r="P29" s="198">
        <v>-5496</v>
      </c>
      <c r="Q29" s="174"/>
      <c r="R29" s="204"/>
      <c r="S29" s="136"/>
      <c r="T29" s="3"/>
    </row>
    <row r="30" spans="1:20" ht="13.5" customHeight="1">
      <c r="A30" s="36">
        <v>7026</v>
      </c>
      <c r="B30" s="36" t="s">
        <v>52</v>
      </c>
      <c r="C30" s="38">
        <v>2012930</v>
      </c>
      <c r="D30" s="192">
        <f>84963+N30</f>
        <v>77427.577299547789</v>
      </c>
      <c r="E30" s="190">
        <f>62824+P30</f>
        <v>115780</v>
      </c>
      <c r="F30" s="38"/>
      <c r="G30" s="38">
        <v>3816</v>
      </c>
      <c r="H30" s="38">
        <v>130221</v>
      </c>
      <c r="I30" s="38">
        <v>34083</v>
      </c>
      <c r="J30" s="73">
        <f t="shared" si="0"/>
        <v>2038017.5772995478</v>
      </c>
      <c r="L30" s="134"/>
      <c r="M30" s="194">
        <f t="shared" si="2"/>
        <v>0.17362725116249342</v>
      </c>
      <c r="N30" s="193">
        <f t="shared" si="3"/>
        <v>-7535.4227004522145</v>
      </c>
      <c r="O30" s="174"/>
      <c r="P30" s="198">
        <v>52956</v>
      </c>
      <c r="Q30" s="174"/>
      <c r="R30" s="204"/>
      <c r="S30" s="136"/>
      <c r="T30" s="3"/>
    </row>
    <row r="31" spans="1:20" ht="13.5" customHeight="1">
      <c r="A31" s="36">
        <v>7601</v>
      </c>
      <c r="B31" s="36" t="s">
        <v>53</v>
      </c>
      <c r="C31" s="38">
        <v>1573820</v>
      </c>
      <c r="D31" s="192">
        <f>73537+N31</f>
        <v>67645.389782841085</v>
      </c>
      <c r="E31" s="190">
        <f>49336+P31</f>
        <v>40637</v>
      </c>
      <c r="F31" s="38">
        <v>0</v>
      </c>
      <c r="G31" s="38">
        <v>1045</v>
      </c>
      <c r="H31" s="38">
        <v>57846</v>
      </c>
      <c r="I31" s="38">
        <v>2428</v>
      </c>
      <c r="J31" s="73">
        <f t="shared" si="0"/>
        <v>1620783.3897828411</v>
      </c>
      <c r="L31" s="134"/>
      <c r="M31" s="194">
        <f t="shared" si="2"/>
        <v>0.135751387492141</v>
      </c>
      <c r="N31" s="193">
        <f t="shared" si="3"/>
        <v>-5891.6102171589191</v>
      </c>
      <c r="O31" s="174"/>
      <c r="P31" s="198">
        <v>-8699</v>
      </c>
      <c r="Q31" s="174"/>
      <c r="R31" s="204"/>
      <c r="S31" s="136"/>
      <c r="T31" s="3"/>
    </row>
    <row r="32" spans="1:20" ht="13.5" customHeight="1">
      <c r="A32" s="36">
        <v>7603</v>
      </c>
      <c r="B32" s="36" t="s">
        <v>19</v>
      </c>
      <c r="C32" s="38">
        <v>436152</v>
      </c>
      <c r="D32" s="188">
        <f>23644+N32</f>
        <v>21517.678238558598</v>
      </c>
      <c r="E32" s="38">
        <v>17874</v>
      </c>
      <c r="F32" s="38"/>
      <c r="G32" s="38">
        <v>2304</v>
      </c>
      <c r="H32" s="38">
        <v>13796</v>
      </c>
      <c r="I32" s="38">
        <v>-1263</v>
      </c>
      <c r="J32" s="73">
        <f t="shared" si="0"/>
        <v>460706.67823855858</v>
      </c>
      <c r="L32" s="134" t="s">
        <v>88</v>
      </c>
      <c r="M32" s="196">
        <v>8.1157319138984899E-2</v>
      </c>
      <c r="N32" s="197">
        <f>M32*$M$43</f>
        <v>-2126.3217614414043</v>
      </c>
      <c r="O32" s="174"/>
      <c r="P32" s="174"/>
      <c r="Q32" s="174"/>
      <c r="R32" s="156"/>
      <c r="S32" s="136"/>
      <c r="T32" s="3"/>
    </row>
    <row r="33" spans="1:20" ht="13.5" customHeight="1">
      <c r="A33" s="36">
        <v>8001</v>
      </c>
      <c r="B33" s="36" t="s">
        <v>54</v>
      </c>
      <c r="C33" s="38">
        <v>3292064</v>
      </c>
      <c r="D33" s="188">
        <f>145209+N33</f>
        <v>128825.79345822033</v>
      </c>
      <c r="E33" s="38">
        <v>110544</v>
      </c>
      <c r="F33" s="38"/>
      <c r="G33" s="38">
        <v>20986</v>
      </c>
      <c r="H33" s="38">
        <v>232818</v>
      </c>
      <c r="I33" s="38">
        <v>49716</v>
      </c>
      <c r="J33" s="73">
        <f t="shared" si="0"/>
        <v>3227913.7934582205</v>
      </c>
      <c r="L33" s="134"/>
      <c r="M33" s="196">
        <v>0.62531322678548373</v>
      </c>
      <c r="N33" s="197">
        <f>M33*$M$43</f>
        <v>-16383.206541779673</v>
      </c>
      <c r="O33" s="174"/>
      <c r="P33" s="174"/>
      <c r="Q33" s="174"/>
      <c r="R33" s="156"/>
      <c r="S33" s="136"/>
      <c r="T33" s="3"/>
    </row>
    <row r="34" spans="1:20" ht="13.5" customHeight="1">
      <c r="A34" s="36">
        <v>8003</v>
      </c>
      <c r="B34" s="36" t="s">
        <v>20</v>
      </c>
      <c r="C34" s="38">
        <v>937248</v>
      </c>
      <c r="D34" s="188">
        <f>49811+N34</f>
        <v>45206.963153099357</v>
      </c>
      <c r="E34" s="38">
        <v>39110</v>
      </c>
      <c r="F34" s="38"/>
      <c r="G34" s="38">
        <v>2649</v>
      </c>
      <c r="H34" s="38">
        <v>62303</v>
      </c>
      <c r="I34" s="38">
        <v>80181</v>
      </c>
      <c r="J34" s="73">
        <f t="shared" si="0"/>
        <v>876431.96315309941</v>
      </c>
      <c r="L34" s="134"/>
      <c r="M34" s="196">
        <v>0.17572659720994827</v>
      </c>
      <c r="N34" s="197">
        <f>M34*$M$43</f>
        <v>-4604.0368469006444</v>
      </c>
      <c r="O34" s="174"/>
      <c r="P34" s="174"/>
      <c r="Q34" s="174"/>
      <c r="R34" s="202"/>
      <c r="S34" s="136"/>
      <c r="T34" s="3"/>
    </row>
    <row r="35" spans="1:20" ht="13.5" customHeight="1">
      <c r="A35" s="36">
        <v>8005</v>
      </c>
      <c r="B35" s="36" t="s">
        <v>21</v>
      </c>
      <c r="C35" s="38">
        <v>281221</v>
      </c>
      <c r="D35" s="188">
        <f>11442+N35</f>
        <v>10069.762246284747</v>
      </c>
      <c r="E35" s="38">
        <v>16600</v>
      </c>
      <c r="F35" s="38"/>
      <c r="G35" s="38">
        <v>684</v>
      </c>
      <c r="H35" s="38">
        <v>2179</v>
      </c>
      <c r="I35" s="38">
        <v>57885</v>
      </c>
      <c r="J35" s="73">
        <f t="shared" si="0"/>
        <v>247142.76224628475</v>
      </c>
      <c r="L35" s="134"/>
      <c r="M35" s="196">
        <v>5.2375486783024928E-2</v>
      </c>
      <c r="N35" s="197">
        <f>M35*$M$43</f>
        <v>-1372.2377537152531</v>
      </c>
      <c r="O35" s="174"/>
      <c r="P35" s="174"/>
      <c r="Q35" s="174"/>
      <c r="R35" s="156"/>
      <c r="S35" s="136"/>
      <c r="T35" s="3"/>
    </row>
    <row r="36" spans="1:20" ht="13.5" customHeight="1">
      <c r="A36" s="39">
        <v>8040</v>
      </c>
      <c r="B36" s="39" t="s">
        <v>55</v>
      </c>
      <c r="C36" s="40">
        <v>354926</v>
      </c>
      <c r="D36" s="195">
        <f>13125+N36</f>
        <v>11410.802903836971</v>
      </c>
      <c r="E36" s="40">
        <v>18883</v>
      </c>
      <c r="F36" s="40"/>
      <c r="G36" s="40">
        <v>2885</v>
      </c>
      <c r="H36" s="40">
        <v>773</v>
      </c>
      <c r="I36" s="40">
        <v>-186519</v>
      </c>
      <c r="J36" s="42">
        <f t="shared" si="0"/>
        <v>568080.80290383694</v>
      </c>
      <c r="L36" s="134"/>
      <c r="M36" s="196">
        <v>6.5427370082558348E-2</v>
      </c>
      <c r="N36" s="197">
        <f>M36*$M$43</f>
        <v>-1714.1970961630286</v>
      </c>
      <c r="O36" s="174"/>
      <c r="P36" s="174"/>
      <c r="Q36" s="174"/>
      <c r="R36" s="156"/>
      <c r="S36" s="136"/>
      <c r="T36" s="3"/>
    </row>
    <row r="37" spans="1:20" ht="13.5" customHeight="1">
      <c r="A37" s="74"/>
      <c r="B37" s="41" t="s">
        <v>30</v>
      </c>
      <c r="C37" s="42">
        <f>SUM(C5:C36)</f>
        <v>51895990</v>
      </c>
      <c r="D37" s="42">
        <f t="shared" ref="D37:J37" si="4">SUM(D5:D36)</f>
        <v>1847034.9475809506</v>
      </c>
      <c r="E37" s="42">
        <f t="shared" si="4"/>
        <v>1409113</v>
      </c>
      <c r="F37" s="42">
        <f t="shared" si="4"/>
        <v>31780</v>
      </c>
      <c r="G37" s="42">
        <f t="shared" si="4"/>
        <v>165951</v>
      </c>
      <c r="H37" s="42">
        <f t="shared" si="4"/>
        <v>-194031</v>
      </c>
      <c r="I37" s="42">
        <f t="shared" si="4"/>
        <v>48314.108626684581</v>
      </c>
      <c r="J37" s="42">
        <f t="shared" si="4"/>
        <v>55100123.838954277</v>
      </c>
      <c r="K37" s="71"/>
      <c r="L37" s="164"/>
      <c r="M37" s="175"/>
      <c r="N37" s="176"/>
      <c r="O37" s="176"/>
      <c r="P37" s="176"/>
      <c r="Q37" s="176"/>
      <c r="R37" s="208"/>
      <c r="S37" s="142"/>
      <c r="T37" s="3"/>
    </row>
    <row r="38" spans="1:20" ht="13.5" customHeight="1">
      <c r="A38" s="43"/>
      <c r="B38" s="24"/>
      <c r="C38" s="44"/>
      <c r="D38" s="44"/>
      <c r="E38" s="44"/>
      <c r="F38" s="44"/>
      <c r="G38" s="44"/>
      <c r="H38" s="44"/>
      <c r="I38" s="44"/>
      <c r="J38" s="44"/>
      <c r="L38" s="3"/>
      <c r="M38" s="156"/>
      <c r="N38" s="173"/>
      <c r="O38" s="173"/>
      <c r="P38" s="173"/>
      <c r="Q38" s="173"/>
      <c r="R38" s="156"/>
      <c r="S38" s="3"/>
      <c r="T38" s="3"/>
    </row>
    <row r="39" spans="1:20" ht="13.5" customHeight="1">
      <c r="A39" s="43"/>
      <c r="B39" s="45" t="s">
        <v>44</v>
      </c>
      <c r="C39" s="46">
        <f>SUM(C5:C14)</f>
        <v>17114295</v>
      </c>
      <c r="D39" s="46">
        <f t="shared" ref="D39:I39" si="5">SUM(D5:D14)</f>
        <v>710781.30778095021</v>
      </c>
      <c r="E39" s="46">
        <f t="shared" si="5"/>
        <v>358758</v>
      </c>
      <c r="F39" s="46">
        <f t="shared" si="5"/>
        <v>0</v>
      </c>
      <c r="G39" s="46">
        <f t="shared" si="5"/>
        <v>47035</v>
      </c>
      <c r="H39" s="46">
        <f>SUM(H5:H14)</f>
        <v>-1703033</v>
      </c>
      <c r="I39" s="46">
        <f t="shared" si="5"/>
        <v>7999.1086266845705</v>
      </c>
      <c r="J39" s="47">
        <f>SUM(C39:E39)-SUM(F39:I39)</f>
        <v>19831833.199154265</v>
      </c>
      <c r="L39" s="46"/>
      <c r="M39" s="177"/>
      <c r="N39" s="178"/>
      <c r="O39" s="178"/>
      <c r="P39" s="178"/>
      <c r="Q39" s="184">
        <f>SUM(Q5:Q14)</f>
        <v>53975.307780950163</v>
      </c>
      <c r="R39" s="209">
        <f>SUM(R7:R11)</f>
        <v>32507</v>
      </c>
      <c r="S39" s="210">
        <f>SUM(S5:S14)</f>
        <v>-1004.7888733154286</v>
      </c>
      <c r="T39" s="3"/>
    </row>
    <row r="40" spans="1:20" ht="13.5" customHeight="1">
      <c r="A40" s="43"/>
      <c r="B40" s="48" t="s">
        <v>45</v>
      </c>
      <c r="C40" s="49">
        <f>SUM(C15:C16)</f>
        <v>6502869</v>
      </c>
      <c r="D40" s="49">
        <f t="shared" ref="D40:I40" si="6">SUM(D15:D16)</f>
        <v>193819</v>
      </c>
      <c r="E40" s="49">
        <f t="shared" si="6"/>
        <v>249835</v>
      </c>
      <c r="F40" s="49">
        <f t="shared" si="6"/>
        <v>14001</v>
      </c>
      <c r="G40" s="49">
        <f t="shared" si="6"/>
        <v>39111</v>
      </c>
      <c r="H40" s="49">
        <f>SUM(H15:H16)</f>
        <v>228635</v>
      </c>
      <c r="I40" s="49">
        <f t="shared" si="6"/>
        <v>121</v>
      </c>
      <c r="J40" s="50">
        <f>SUM(C40:E40)-SUM(F40:I40)</f>
        <v>6664655</v>
      </c>
      <c r="L40" s="49"/>
      <c r="M40" s="179"/>
      <c r="N40" s="174"/>
      <c r="O40" s="174"/>
      <c r="P40" s="174"/>
      <c r="Q40" s="174"/>
      <c r="R40" s="202"/>
      <c r="S40" s="136"/>
      <c r="T40" s="3"/>
    </row>
    <row r="41" spans="1:20" ht="13.5" customHeight="1">
      <c r="A41" s="43"/>
      <c r="B41" s="48" t="s">
        <v>46</v>
      </c>
      <c r="C41" s="49">
        <f t="shared" ref="C41:I41" si="7">SUM(C17:C23)</f>
        <v>11383816</v>
      </c>
      <c r="D41" s="49">
        <f t="shared" si="7"/>
        <v>244979.6398</v>
      </c>
      <c r="E41" s="49">
        <f t="shared" si="7"/>
        <v>233934</v>
      </c>
      <c r="F41" s="49">
        <f t="shared" si="7"/>
        <v>9616</v>
      </c>
      <c r="G41" s="49">
        <f t="shared" si="7"/>
        <v>34960</v>
      </c>
      <c r="H41" s="49">
        <f t="shared" si="7"/>
        <v>507523</v>
      </c>
      <c r="I41" s="49">
        <f t="shared" si="7"/>
        <v>7493</v>
      </c>
      <c r="J41" s="50">
        <f>SUM(C41:E41)-SUM(F41:I41)</f>
        <v>11303137.639800001</v>
      </c>
      <c r="L41" s="168" t="s">
        <v>46</v>
      </c>
      <c r="M41" s="181"/>
      <c r="N41" s="174"/>
      <c r="O41" s="174">
        <v>46276.639799999997</v>
      </c>
      <c r="P41" s="174"/>
      <c r="Q41" s="174"/>
      <c r="R41" s="202"/>
      <c r="S41" s="136"/>
      <c r="T41" s="3"/>
    </row>
    <row r="42" spans="1:20" ht="13.5" customHeight="1">
      <c r="A42" s="43"/>
      <c r="B42" s="48" t="s">
        <v>47</v>
      </c>
      <c r="C42" s="49">
        <f>SUM(C24:C31)</f>
        <v>11593399</v>
      </c>
      <c r="D42" s="49">
        <f t="shared" ref="D42:I42" si="8">SUM(D24:D31)</f>
        <v>480423.99999999994</v>
      </c>
      <c r="E42" s="49">
        <f t="shared" si="8"/>
        <v>363575</v>
      </c>
      <c r="F42" s="49">
        <f t="shared" si="8"/>
        <v>8163</v>
      </c>
      <c r="G42" s="49">
        <f t="shared" si="8"/>
        <v>15337</v>
      </c>
      <c r="H42" s="49">
        <f>SUM(H24:H31)</f>
        <v>460975</v>
      </c>
      <c r="I42" s="49">
        <f t="shared" si="8"/>
        <v>32701</v>
      </c>
      <c r="J42" s="50">
        <f>SUM(C42:E42)-SUM(F42:I42)</f>
        <v>11920222</v>
      </c>
      <c r="L42" s="168" t="s">
        <v>47</v>
      </c>
      <c r="M42" s="181">
        <v>-43400</v>
      </c>
      <c r="N42" s="174"/>
      <c r="O42" s="174"/>
      <c r="P42" s="174">
        <f>SUM(P24:P31)</f>
        <v>0</v>
      </c>
      <c r="Q42" s="174"/>
      <c r="R42" s="202"/>
      <c r="S42" s="136"/>
      <c r="T42" s="3"/>
    </row>
    <row r="43" spans="1:20" ht="13.5" customHeight="1">
      <c r="A43" s="51"/>
      <c r="B43" s="52" t="s">
        <v>48</v>
      </c>
      <c r="C43" s="53">
        <f>SUM(C32:C36)</f>
        <v>5301611</v>
      </c>
      <c r="D43" s="53">
        <f t="shared" ref="D43:I43" si="9">SUM(D32:D36)</f>
        <v>217031</v>
      </c>
      <c r="E43" s="53">
        <f t="shared" si="9"/>
        <v>203011</v>
      </c>
      <c r="F43" s="53">
        <f t="shared" si="9"/>
        <v>0</v>
      </c>
      <c r="G43" s="53">
        <f t="shared" si="9"/>
        <v>29508</v>
      </c>
      <c r="H43" s="53">
        <f>SUM(H32:H36)</f>
        <v>311869</v>
      </c>
      <c r="I43" s="53">
        <f t="shared" si="9"/>
        <v>0</v>
      </c>
      <c r="J43" s="54">
        <f>SUM(C43:E43)-SUM(F43:I43)</f>
        <v>5380276</v>
      </c>
      <c r="L43" s="169" t="s">
        <v>48</v>
      </c>
      <c r="M43" s="181">
        <v>-26200</v>
      </c>
      <c r="N43" s="180"/>
      <c r="O43" s="180"/>
      <c r="P43" s="180"/>
      <c r="Q43" s="180"/>
      <c r="R43" s="202"/>
      <c r="S43" s="136"/>
      <c r="T43" s="3"/>
    </row>
    <row r="44" spans="1:20" ht="13.5" customHeight="1">
      <c r="A44" s="51"/>
      <c r="B44" s="41" t="s">
        <v>30</v>
      </c>
      <c r="C44" s="46">
        <f>SUM(C39:C43)</f>
        <v>51895990</v>
      </c>
      <c r="D44" s="55">
        <f t="shared" ref="D44:J44" si="10">SUM(D39:D43)</f>
        <v>1847034.9475809503</v>
      </c>
      <c r="E44" s="55">
        <f t="shared" si="10"/>
        <v>1409113</v>
      </c>
      <c r="F44" s="55">
        <f t="shared" si="10"/>
        <v>31780</v>
      </c>
      <c r="G44" s="55">
        <f t="shared" si="10"/>
        <v>165951</v>
      </c>
      <c r="H44" s="55">
        <f t="shared" si="10"/>
        <v>-194031</v>
      </c>
      <c r="I44" s="55">
        <f t="shared" si="10"/>
        <v>48314.108626684567</v>
      </c>
      <c r="J44" s="56">
        <f t="shared" si="10"/>
        <v>55100123.83895427</v>
      </c>
      <c r="L44" s="140"/>
      <c r="M44" s="140"/>
      <c r="N44" s="170"/>
      <c r="O44" s="170"/>
      <c r="P44" s="170"/>
      <c r="Q44" s="170"/>
      <c r="R44" s="145"/>
      <c r="S44" s="142"/>
      <c r="T44" s="3"/>
    </row>
    <row r="45" spans="1:20" ht="13.5" customHeight="1">
      <c r="C45" s="84"/>
      <c r="N45" s="4"/>
      <c r="O45" s="4"/>
      <c r="P45" s="3"/>
      <c r="Q45" s="3"/>
      <c r="R45" s="3"/>
      <c r="S45" s="3"/>
      <c r="T45" s="3"/>
    </row>
    <row r="46" spans="1:20" ht="13.5" customHeight="1">
      <c r="D46" s="27"/>
      <c r="E46" s="27"/>
      <c r="N46" s="4"/>
      <c r="O46" s="4"/>
      <c r="P46" s="3"/>
      <c r="Q46" s="3"/>
      <c r="R46" s="3"/>
      <c r="S46" s="3"/>
      <c r="T46" s="3"/>
    </row>
    <row r="47" spans="1:20" ht="13.5" customHeight="1">
      <c r="N47" s="4"/>
      <c r="O47" s="4"/>
      <c r="P47" s="3"/>
      <c r="Q47" s="3"/>
      <c r="R47" s="3"/>
      <c r="S47" s="3"/>
      <c r="T47" s="3"/>
    </row>
    <row r="48" spans="1:20" ht="13.5" customHeight="1">
      <c r="N48" s="4"/>
      <c r="O48" s="4"/>
      <c r="P48" s="3"/>
      <c r="Q48" s="3"/>
      <c r="R48" s="3"/>
      <c r="S48" s="3"/>
      <c r="T48" s="3"/>
    </row>
    <row r="49" spans="14:20" ht="13.5" customHeight="1">
      <c r="N49" s="4"/>
      <c r="O49" s="4"/>
      <c r="P49" s="3"/>
      <c r="Q49" s="3"/>
      <c r="R49" s="3"/>
      <c r="S49" s="3"/>
      <c r="T49" s="3"/>
    </row>
    <row r="50" spans="14:20" ht="13.5" customHeight="1">
      <c r="N50" s="4"/>
      <c r="O50" s="4"/>
      <c r="P50" s="3"/>
      <c r="Q50" s="3"/>
      <c r="R50" s="3"/>
      <c r="S50" s="3"/>
      <c r="T50" s="3"/>
    </row>
    <row r="51" spans="14:20" ht="13.5" customHeight="1">
      <c r="N51" s="4"/>
      <c r="O51" s="4"/>
      <c r="P51" s="3"/>
      <c r="Q51" s="3"/>
      <c r="R51" s="3"/>
      <c r="S51" s="3"/>
      <c r="T51" s="3"/>
    </row>
    <row r="52" spans="14:20" ht="13.5" customHeight="1">
      <c r="N52" s="4"/>
      <c r="O52" s="4"/>
      <c r="P52" s="3"/>
      <c r="Q52" s="3"/>
      <c r="R52" s="3"/>
      <c r="S52" s="3"/>
      <c r="T52" s="3"/>
    </row>
    <row r="53" spans="14:20">
      <c r="N53" s="4"/>
      <c r="O53" s="4"/>
      <c r="P53" s="3"/>
      <c r="Q53" s="3"/>
      <c r="R53" s="3"/>
      <c r="S53" s="3"/>
      <c r="T53" s="3"/>
    </row>
  </sheetData>
  <phoneticPr fontId="12" type="noConversion"/>
  <pageMargins left="0.52" right="0.43" top="0.52" bottom="0.19" header="0.23" footer="0.25"/>
  <pageSetup paperSize="9" scale="62" orientation="landscape" r:id="rId1"/>
  <headerFooter alignWithMargins="0">
    <oddHeader>&amp;CSide &amp;P /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53"/>
  <sheetViews>
    <sheetView zoomScaleNormal="100" zoomScaleSheetLayoutView="100" workbookViewId="0">
      <selection activeCell="O18" sqref="O18"/>
    </sheetView>
  </sheetViews>
  <sheetFormatPr defaultRowHeight="12"/>
  <cols>
    <col min="1" max="1" width="8.5703125" style="6" customWidth="1"/>
    <col min="2" max="2" width="39.28515625" style="6" customWidth="1"/>
    <col min="3" max="9" width="10" style="7" customWidth="1"/>
    <col min="10" max="10" width="19.28515625" style="7" customWidth="1"/>
    <col min="11" max="11" width="9.140625" style="6"/>
    <col min="12" max="12" width="8" style="6" customWidth="1"/>
    <col min="13" max="13" width="9.140625" style="6"/>
    <col min="14" max="14" width="8.5703125" style="6" customWidth="1"/>
    <col min="15" max="16384" width="9.140625" style="6"/>
  </cols>
  <sheetData>
    <row r="1" spans="1:18" ht="15.75">
      <c r="A1" s="8" t="str">
        <f>'Skema1-7_2008'!A1</f>
        <v>Bilag E til Løbende Offentliggørelse af Produktivitet i Sygehussektoren, 2008-2009. December 2010</v>
      </c>
      <c r="N1" s="3"/>
      <c r="O1" s="3"/>
      <c r="P1" s="3"/>
      <c r="Q1" s="3"/>
      <c r="R1" s="3"/>
    </row>
    <row r="2" spans="1:18" ht="13.5" customHeight="1">
      <c r="A2" s="80" t="s">
        <v>79</v>
      </c>
      <c r="E2" s="5"/>
      <c r="F2" s="5"/>
      <c r="G2" s="5"/>
      <c r="H2" s="4"/>
      <c r="I2" s="81"/>
      <c r="J2" s="4"/>
      <c r="N2" s="3"/>
      <c r="O2" s="3"/>
      <c r="P2" s="3"/>
      <c r="Q2" s="3"/>
      <c r="R2" s="3"/>
    </row>
    <row r="3" spans="1:18" ht="13.5" customHeight="1">
      <c r="A3" s="35" t="s">
        <v>78</v>
      </c>
      <c r="E3" s="5"/>
      <c r="F3" s="5"/>
      <c r="G3" s="5"/>
      <c r="H3" s="4"/>
      <c r="I3" s="5"/>
      <c r="J3" s="4"/>
      <c r="N3" s="3"/>
      <c r="O3" s="3"/>
      <c r="P3" s="3"/>
      <c r="Q3" s="3"/>
      <c r="R3" s="3"/>
    </row>
    <row r="4" spans="1:18" ht="54" customHeight="1">
      <c r="A4" s="72" t="s">
        <v>22</v>
      </c>
      <c r="B4" s="72" t="s">
        <v>0</v>
      </c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12" t="s">
        <v>31</v>
      </c>
      <c r="N4" s="3"/>
      <c r="O4" s="3"/>
      <c r="P4" s="3"/>
      <c r="Q4" s="3"/>
      <c r="R4" s="3"/>
    </row>
    <row r="5" spans="1:18" ht="13.5" customHeight="1">
      <c r="A5" s="36">
        <v>1301</v>
      </c>
      <c r="B5" s="36" t="s">
        <v>1</v>
      </c>
      <c r="C5" s="115">
        <f>IF('Skema1-7_2008'!C5=0,"-",'Skema1-7_2009'!C5/'Skema1-7_2008'!C5*100-100)</f>
        <v>8.8958280324085166</v>
      </c>
      <c r="D5" s="115">
        <f>IF('Skema1-7_2008'!D5=0,"-",'Skema1-7_2009'!D5/'Skema1-7_2008'!D5*100-100)</f>
        <v>16.722097950426758</v>
      </c>
      <c r="E5" s="115">
        <f>IF('Skema1-7_2008'!E5=0,"-",'Skema1-7_2009'!E5/'Skema1-7_2008'!E5*100-100)</f>
        <v>1.0788821480644657</v>
      </c>
      <c r="F5" s="115" t="str">
        <f>IF('Skema1-7_2008'!F5=0,"-",'Skema1-7_2009'!F5/'Skema1-7_2008'!F5*100-100)</f>
        <v>-</v>
      </c>
      <c r="G5" s="115">
        <f>IF('Skema1-7_2008'!G5=0,"-",'Skema1-7_2009'!G5/'Skema1-7_2008'!G5*100-100)</f>
        <v>17.210331542330721</v>
      </c>
      <c r="H5" s="115">
        <f>IF('Skema1-7_2008'!H5=0,"-",'Skema1-7_2009'!H5/'Skema1-7_2008'!H5*100-100)</f>
        <v>0.49931891440044751</v>
      </c>
      <c r="I5" s="115">
        <f>IF('Skema1-7_2008'!I5=0,"-",'Skema1-7_2009'!I5/'Skema1-7_2008'!I5*100-100)</f>
        <v>-108.77309625485525</v>
      </c>
      <c r="J5" s="13">
        <f>IF('Skema1-7_2008'!J5=0,"-",'Skema1-7_2009'!J5/'Skema1-7_2008'!J5*100-100)</f>
        <v>5.1194320351671365</v>
      </c>
      <c r="N5" s="3"/>
      <c r="O5" s="3"/>
      <c r="P5" s="3"/>
      <c r="Q5" s="3"/>
      <c r="R5" s="3"/>
    </row>
    <row r="6" spans="1:18" ht="13.5" customHeight="1">
      <c r="A6" s="36">
        <v>1309</v>
      </c>
      <c r="B6" s="36" t="s">
        <v>2</v>
      </c>
      <c r="C6" s="115">
        <f>IF('Skema1-7_2008'!C6=0,"-",'Skema1-7_2009'!C6/'Skema1-7_2008'!C6*100-100)</f>
        <v>3.8362687230646344</v>
      </c>
      <c r="D6" s="115">
        <f>IF('Skema1-7_2008'!D6=0,"-",'Skema1-7_2009'!D6/'Skema1-7_2008'!D6*100-100)</f>
        <v>-11.855868667932896</v>
      </c>
      <c r="E6" s="115">
        <f>IF('Skema1-7_2008'!E6=0,"-",'Skema1-7_2009'!E6/'Skema1-7_2008'!E6*100-100)</f>
        <v>0.5709067756529862</v>
      </c>
      <c r="F6" s="115" t="str">
        <f>IF('Skema1-7_2008'!F6=0,"-",'Skema1-7_2009'!F6/'Skema1-7_2008'!F6*100-100)</f>
        <v>-</v>
      </c>
      <c r="G6" s="115">
        <f>IF('Skema1-7_2008'!G6=0,"-",'Skema1-7_2009'!G6/'Skema1-7_2008'!G6*100-100)</f>
        <v>48.249292419135003</v>
      </c>
      <c r="H6" s="115">
        <f>IF('Skema1-7_2008'!H6=0,"-",'Skema1-7_2009'!H6/'Skema1-7_2008'!H6*100-100)</f>
        <v>-114.80097779075308</v>
      </c>
      <c r="I6" s="115">
        <f>IF('Skema1-7_2008'!I6=0,"-",'Skema1-7_2009'!I6/'Skema1-7_2008'!I6*100-100)</f>
        <v>-526.75025815618994</v>
      </c>
      <c r="J6" s="13">
        <f>IF('Skema1-7_2008'!J6=0,"-",'Skema1-7_2009'!J6/'Skema1-7_2008'!J6*100-100)</f>
        <v>10.297991320498184</v>
      </c>
      <c r="N6" s="3"/>
      <c r="O6" s="3"/>
      <c r="P6" s="3"/>
      <c r="Q6" s="3"/>
      <c r="R6" s="3"/>
    </row>
    <row r="7" spans="1:18" ht="13.5" customHeight="1">
      <c r="A7" s="36">
        <v>1330</v>
      </c>
      <c r="B7" s="36" t="s">
        <v>3</v>
      </c>
      <c r="C7" s="115">
        <f>IF('Skema1-7_2008'!C7=0,"-",'Skema1-7_2009'!C7/'Skema1-7_2008'!C7*100-100)</f>
        <v>17.225080891129679</v>
      </c>
      <c r="D7" s="115">
        <f>IF('Skema1-7_2008'!D7=0,"-",'Skema1-7_2009'!D7/'Skema1-7_2008'!D7*100-100)</f>
        <v>45.975889272788947</v>
      </c>
      <c r="E7" s="115">
        <f>IF('Skema1-7_2008'!E7=0,"-",'Skema1-7_2009'!E7/'Skema1-7_2008'!E7*100-100)</f>
        <v>-8.0869809309989193</v>
      </c>
      <c r="F7" s="115" t="str">
        <f>IF('Skema1-7_2008'!F7=0,"-",'Skema1-7_2009'!F7/'Skema1-7_2008'!F7*100-100)</f>
        <v>-</v>
      </c>
      <c r="G7" s="115">
        <f>IF('Skema1-7_2008'!G7=0,"-",'Skema1-7_2009'!G7/'Skema1-7_2008'!G7*100-100)</f>
        <v>27.609535418901913</v>
      </c>
      <c r="H7" s="115">
        <f>IF('Skema1-7_2008'!H7=0,"-",'Skema1-7_2009'!H7/'Skema1-7_2008'!H7*100-100)</f>
        <v>436.81620860741964</v>
      </c>
      <c r="I7" s="115">
        <f>IF('Skema1-7_2008'!I7=0,"-",'Skema1-7_2009'!I7/'Skema1-7_2008'!I7*100-100)</f>
        <v>-91.367117714123538</v>
      </c>
      <c r="J7" s="13">
        <f>IF('Skema1-7_2008'!J7=0,"-",'Skema1-7_2009'!J7/'Skema1-7_2008'!J7*100-100)</f>
        <v>24.776441820878631</v>
      </c>
      <c r="N7" s="3"/>
      <c r="O7" s="3"/>
      <c r="P7" s="3"/>
      <c r="Q7" s="3"/>
      <c r="R7" s="3"/>
    </row>
    <row r="8" spans="1:18" ht="13.5" customHeight="1">
      <c r="A8" s="36">
        <v>1351</v>
      </c>
      <c r="B8" s="36" t="s">
        <v>4</v>
      </c>
      <c r="C8" s="115">
        <f>IF('Skema1-7_2008'!C8=0,"-",'Skema1-7_2009'!C8/'Skema1-7_2008'!C8*100-100)</f>
        <v>-28.796853205825983</v>
      </c>
      <c r="D8" s="115">
        <f>IF('Skema1-7_2008'!D8=0,"-",'Skema1-7_2009'!D8/'Skema1-7_2008'!D8*100-100)</f>
        <v>-20.618386329199595</v>
      </c>
      <c r="E8" s="115">
        <f>IF('Skema1-7_2008'!E8=0,"-",'Skema1-7_2009'!E8/'Skema1-7_2008'!E8*100-100)</f>
        <v>-30.940540211506814</v>
      </c>
      <c r="F8" s="115" t="str">
        <f>IF('Skema1-7_2008'!F8=0,"-",'Skema1-7_2009'!F8/'Skema1-7_2008'!F8*100-100)</f>
        <v>-</v>
      </c>
      <c r="G8" s="115">
        <f>IF('Skema1-7_2008'!G8=0,"-",'Skema1-7_2009'!G8/'Skema1-7_2008'!G8*100-100)</f>
        <v>-56.707527278266376</v>
      </c>
      <c r="H8" s="115">
        <f>IF('Skema1-7_2008'!H8=0,"-",'Skema1-7_2009'!H8/'Skema1-7_2008'!H8*100-100)</f>
        <v>-23.984302271436235</v>
      </c>
      <c r="I8" s="115">
        <f>IF('Skema1-7_2008'!I8=0,"-",'Skema1-7_2009'!I8/'Skema1-7_2008'!I8*100-100)</f>
        <v>-107.10501026847406</v>
      </c>
      <c r="J8" s="13">
        <f>IF('Skema1-7_2008'!J8=0,"-",'Skema1-7_2009'!J8/'Skema1-7_2008'!J8*100-100)</f>
        <v>-28.126918871899221</v>
      </c>
      <c r="N8" s="3"/>
      <c r="O8" s="3"/>
      <c r="P8" s="3"/>
      <c r="Q8" s="3"/>
      <c r="R8" s="3"/>
    </row>
    <row r="9" spans="1:18" ht="13.5" customHeight="1">
      <c r="A9" s="36">
        <v>1401</v>
      </c>
      <c r="B9" s="36" t="s">
        <v>5</v>
      </c>
      <c r="C9" s="115">
        <f>IF('Skema1-7_2008'!C9=0,"-",'Skema1-7_2009'!C9/'Skema1-7_2008'!C9*100-100)</f>
        <v>-2.6372213097377823</v>
      </c>
      <c r="D9" s="115">
        <f>IF('Skema1-7_2008'!D9=0,"-",'Skema1-7_2009'!D9/'Skema1-7_2008'!D9*100-100)</f>
        <v>13.852265310121822</v>
      </c>
      <c r="E9" s="115">
        <f>IF('Skema1-7_2008'!E9=0,"-",'Skema1-7_2009'!E9/'Skema1-7_2008'!E9*100-100)</f>
        <v>-5.5821595662192038</v>
      </c>
      <c r="F9" s="115" t="str">
        <f>IF('Skema1-7_2008'!F9=0,"-",'Skema1-7_2009'!F9/'Skema1-7_2008'!F9*100-100)</f>
        <v>-</v>
      </c>
      <c r="G9" s="115" t="str">
        <f>IF('Skema1-7_2008'!G9=0,"-",'Skema1-7_2009'!G9/'Skema1-7_2008'!G9*100-100)</f>
        <v>-</v>
      </c>
      <c r="H9" s="115">
        <f>IF('Skema1-7_2008'!H9=0,"-",'Skema1-7_2009'!H9/'Skema1-7_2008'!H9*100-100)</f>
        <v>-155.79396973660573</v>
      </c>
      <c r="I9" s="115">
        <f>IF('Skema1-7_2008'!I9=0,"-",'Skema1-7_2009'!I9/'Skema1-7_2008'!I9*100-100)</f>
        <v>373.4596224265772</v>
      </c>
      <c r="J9" s="13">
        <f>IF('Skema1-7_2008'!J9=0,"-",'Skema1-7_2009'!J9/'Skema1-7_2008'!J9*100-100)</f>
        <v>2.4493805495774126</v>
      </c>
      <c r="N9" s="3"/>
      <c r="O9" s="3"/>
      <c r="P9" s="3"/>
      <c r="Q9" s="3"/>
      <c r="R9" s="3"/>
    </row>
    <row r="10" spans="1:18" ht="13.5" customHeight="1">
      <c r="A10" s="36">
        <v>1501</v>
      </c>
      <c r="B10" s="36" t="s">
        <v>6</v>
      </c>
      <c r="C10" s="115">
        <f>IF('Skema1-7_2008'!C10=0,"-",'Skema1-7_2009'!C10/'Skema1-7_2008'!C10*100-100)</f>
        <v>0.21900651123574733</v>
      </c>
      <c r="D10" s="115">
        <f>IF('Skema1-7_2008'!D10=0,"-",'Skema1-7_2009'!D10/'Skema1-7_2008'!D10*100-100)</f>
        <v>3.584156485868732</v>
      </c>
      <c r="E10" s="115">
        <f>IF('Skema1-7_2008'!E10=0,"-",'Skema1-7_2009'!E10/'Skema1-7_2008'!E10*100-100)</f>
        <v>-2.8049426279122684</v>
      </c>
      <c r="F10" s="115">
        <f>IF('Skema1-7_2008'!F10=0,"-",'Skema1-7_2009'!F10/'Skema1-7_2008'!F10*100-100)</f>
        <v>-100</v>
      </c>
      <c r="G10" s="115">
        <f>IF('Skema1-7_2008'!G10=0,"-",'Skema1-7_2009'!G10/'Skema1-7_2008'!G10*100-100)</f>
        <v>-52.145994230080085</v>
      </c>
      <c r="H10" s="115">
        <f>IF('Skema1-7_2008'!H10=0,"-",'Skema1-7_2009'!H10/'Skema1-7_2008'!H10*100-100)</f>
        <v>119.12262179634089</v>
      </c>
      <c r="I10" s="115">
        <f>IF('Skema1-7_2008'!I10=0,"-",'Skema1-7_2009'!I10/'Skema1-7_2008'!I10*100-100)</f>
        <v>-219.96893717604004</v>
      </c>
      <c r="J10" s="13">
        <f>IF('Skema1-7_2008'!J10=0,"-",'Skema1-7_2009'!J10/'Skema1-7_2008'!J10*100-100)</f>
        <v>10.504428878029159</v>
      </c>
      <c r="N10" s="3"/>
      <c r="O10" s="3"/>
      <c r="P10" s="3"/>
      <c r="Q10" s="3"/>
      <c r="R10" s="3"/>
    </row>
    <row r="11" spans="1:18" ht="13.5" customHeight="1">
      <c r="A11" s="36">
        <v>1502</v>
      </c>
      <c r="B11" s="36" t="s">
        <v>7</v>
      </c>
      <c r="C11" s="115">
        <f>IF('Skema1-7_2008'!C11=0,"-",'Skema1-7_2009'!C11/'Skema1-7_2008'!C11*100-100)</f>
        <v>-6.1067730031592617</v>
      </c>
      <c r="D11" s="115">
        <f>IF('Skema1-7_2008'!D11=0,"-",'Skema1-7_2009'!D11/'Skema1-7_2008'!D11*100-100)</f>
        <v>4.5818863872912061</v>
      </c>
      <c r="E11" s="115">
        <f>IF('Skema1-7_2008'!E11=0,"-",'Skema1-7_2009'!E11/'Skema1-7_2008'!E11*100-100)</f>
        <v>-8.9656005598809116</v>
      </c>
      <c r="F11" s="115">
        <f>IF('Skema1-7_2008'!F11=0,"-",'Skema1-7_2009'!F11/'Skema1-7_2008'!F11*100-100)</f>
        <v>-100</v>
      </c>
      <c r="G11" s="115" t="str">
        <f>IF('Skema1-7_2008'!G11=0,"-",'Skema1-7_2009'!G11/'Skema1-7_2008'!G11*100-100)</f>
        <v>-</v>
      </c>
      <c r="H11" s="115">
        <f>IF('Skema1-7_2008'!H11=0,"-",'Skema1-7_2009'!H11/'Skema1-7_2008'!H11*100-100)</f>
        <v>231.70863104263054</v>
      </c>
      <c r="I11" s="115">
        <f>IF('Skema1-7_2008'!I11=0,"-",'Skema1-7_2009'!I11/'Skema1-7_2008'!I11*100-100)</f>
        <v>-191.81961264625087</v>
      </c>
      <c r="J11" s="13">
        <f>IF('Skema1-7_2008'!J11=0,"-",'Skema1-7_2009'!J11/'Skema1-7_2008'!J11*100-100)</f>
        <v>-8.6733897391967076</v>
      </c>
      <c r="N11" s="3"/>
      <c r="O11" s="3"/>
      <c r="P11" s="3"/>
      <c r="Q11" s="3"/>
      <c r="R11" s="3"/>
    </row>
    <row r="12" spans="1:18" ht="13.5" customHeight="1">
      <c r="A12" s="36">
        <v>1516</v>
      </c>
      <c r="B12" s="36" t="s">
        <v>8</v>
      </c>
      <c r="C12" s="115">
        <f>IF('Skema1-7_2008'!C12=0,"-",'Skema1-7_2009'!C12/'Skema1-7_2008'!C12*100-100)</f>
        <v>7.0107878706232185</v>
      </c>
      <c r="D12" s="115">
        <f>IF('Skema1-7_2008'!D12=0,"-",'Skema1-7_2009'!D12/'Skema1-7_2008'!D12*100-100)</f>
        <v>19.909041648711593</v>
      </c>
      <c r="E12" s="115">
        <f>IF('Skema1-7_2008'!E12=0,"-",'Skema1-7_2009'!E12/'Skema1-7_2008'!E12*100-100)</f>
        <v>3.7811145878499559</v>
      </c>
      <c r="F12" s="115">
        <f>IF('Skema1-7_2008'!F12=0,"-",'Skema1-7_2009'!F12/'Skema1-7_2008'!F12*100-100)</f>
        <v>-100</v>
      </c>
      <c r="G12" s="115">
        <f>IF('Skema1-7_2008'!G12=0,"-",'Skema1-7_2009'!G12/'Skema1-7_2008'!G12*100-100)</f>
        <v>22.580928429279325</v>
      </c>
      <c r="H12" s="115">
        <f>IF('Skema1-7_2008'!H12=0,"-",'Skema1-7_2009'!H12/'Skema1-7_2008'!H12*100-100)</f>
        <v>30.15997530417448</v>
      </c>
      <c r="I12" s="115">
        <f>IF('Skema1-7_2008'!I12=0,"-",'Skema1-7_2009'!I12/'Skema1-7_2008'!I12*100-100)</f>
        <v>-43.506342156693897</v>
      </c>
      <c r="J12" s="13">
        <f>IF('Skema1-7_2008'!J12=0,"-",'Skema1-7_2009'!J12/'Skema1-7_2008'!J12*100-100)</f>
        <v>8.4659109233147944</v>
      </c>
      <c r="N12" s="3"/>
      <c r="O12" s="3"/>
      <c r="P12" s="3"/>
      <c r="Q12" s="3"/>
      <c r="R12" s="3"/>
    </row>
    <row r="13" spans="1:18" ht="13.5" customHeight="1">
      <c r="A13" s="36">
        <v>2000</v>
      </c>
      <c r="B13" s="36" t="s">
        <v>9</v>
      </c>
      <c r="C13" s="115">
        <f>IF('Skema1-7_2008'!C13=0,"-",'Skema1-7_2009'!C13/'Skema1-7_2008'!C13*100-100)</f>
        <v>3.8469496853309977</v>
      </c>
      <c r="D13" s="115">
        <f>IF('Skema1-7_2008'!D13=0,"-",'Skema1-7_2009'!D13/'Skema1-7_2008'!D13*100-100)</f>
        <v>17.289800830643827</v>
      </c>
      <c r="E13" s="115">
        <f>IF('Skema1-7_2008'!E13=0,"-",'Skema1-7_2009'!E13/'Skema1-7_2008'!E13*100-100)</f>
        <v>20.98922157421012</v>
      </c>
      <c r="F13" s="115" t="str">
        <f>IF('Skema1-7_2008'!F13=0,"-",'Skema1-7_2009'!F13/'Skema1-7_2008'!F13*100-100)</f>
        <v>-</v>
      </c>
      <c r="G13" s="115">
        <f>IF('Skema1-7_2008'!G13=0,"-",'Skema1-7_2009'!G13/'Skema1-7_2008'!G13*100-100)</f>
        <v>-67.921016229513896</v>
      </c>
      <c r="H13" s="115">
        <f>IF('Skema1-7_2008'!H13=0,"-",'Skema1-7_2009'!H13/'Skema1-7_2008'!H13*100-100)</f>
        <v>-32.564288056117832</v>
      </c>
      <c r="I13" s="115" t="str">
        <f>IF('Skema1-7_2008'!I13=0,"-",'Skema1-7_2009'!I13/'Skema1-7_2008'!I13*100-100)</f>
        <v>-</v>
      </c>
      <c r="J13" s="13">
        <f>IF('Skema1-7_2008'!J13=0,"-",'Skema1-7_2009'!J13/'Skema1-7_2008'!J13*100-100)</f>
        <v>7.6126965840870469</v>
      </c>
      <c r="N13" s="3"/>
      <c r="O13" s="3"/>
      <c r="P13" s="3"/>
      <c r="Q13" s="3"/>
      <c r="R13" s="3"/>
    </row>
    <row r="14" spans="1:18" ht="13.5" customHeight="1">
      <c r="A14" s="36">
        <v>4001</v>
      </c>
      <c r="B14" s="36" t="s">
        <v>11</v>
      </c>
      <c r="C14" s="115">
        <f>IF('Skema1-7_2008'!C14=0,"-",'Skema1-7_2009'!C14/'Skema1-7_2008'!C14*100-100)</f>
        <v>1.0411985518972529</v>
      </c>
      <c r="D14" s="115">
        <f>IF('Skema1-7_2008'!D14=0,"-",'Skema1-7_2009'!D14/'Skema1-7_2008'!D14*100-100)</f>
        <v>24.810397264389621</v>
      </c>
      <c r="E14" s="115">
        <f>IF('Skema1-7_2008'!E14=0,"-",'Skema1-7_2009'!E14/'Skema1-7_2008'!E14*100-100)</f>
        <v>-2.0026616376327695</v>
      </c>
      <c r="F14" s="115" t="str">
        <f>IF('Skema1-7_2008'!F14=0,"-",'Skema1-7_2009'!F14/'Skema1-7_2008'!F14*100-100)</f>
        <v>-</v>
      </c>
      <c r="G14" s="115">
        <f>IF('Skema1-7_2008'!G14=0,"-",'Skema1-7_2009'!G14/'Skema1-7_2008'!G14*100-100)</f>
        <v>-93.290668868703548</v>
      </c>
      <c r="H14" s="115">
        <f>IF('Skema1-7_2008'!H14=0,"-",'Skema1-7_2009'!H14/'Skema1-7_2008'!H14*100-100)</f>
        <v>-6.954865951999281</v>
      </c>
      <c r="I14" s="115">
        <f>IF('Skema1-7_2008'!I14=0,"-",'Skema1-7_2009'!I14/'Skema1-7_2008'!I14*100-100)</f>
        <v>6.8559171951035864</v>
      </c>
      <c r="J14" s="13">
        <f>IF('Skema1-7_2008'!J14=0,"-",'Skema1-7_2009'!J14/'Skema1-7_2008'!J14*100-100)</f>
        <v>2.1684972377559149</v>
      </c>
      <c r="N14" s="3"/>
      <c r="O14" s="3"/>
      <c r="P14" s="3"/>
      <c r="Q14" s="3"/>
      <c r="R14" s="3"/>
    </row>
    <row r="15" spans="1:18" ht="13.5" customHeight="1">
      <c r="A15" s="36">
        <v>2500</v>
      </c>
      <c r="B15" s="36" t="s">
        <v>10</v>
      </c>
      <c r="C15" s="116">
        <f>IF('Skema1-7_2008'!C15=0,"-",'Skema1-7_2009'!C15/'Skema1-7_2008'!C15*100-100)</f>
        <v>2.3870254443287422</v>
      </c>
      <c r="D15" s="116">
        <f>IF('Skema1-7_2008'!D15=0,"-",'Skema1-7_2009'!D15/'Skema1-7_2008'!D15*100-100)</f>
        <v>5.297161808502679</v>
      </c>
      <c r="E15" s="116">
        <f>IF('Skema1-7_2008'!E15=0,"-",'Skema1-7_2009'!E15/'Skema1-7_2008'!E15*100-100)</f>
        <v>37.744558260256269</v>
      </c>
      <c r="F15" s="116">
        <f>IF('Skema1-7_2008'!F15=0,"-",'Skema1-7_2009'!F15/'Skema1-7_2008'!F15*100-100)</f>
        <v>777.40929984809327</v>
      </c>
      <c r="G15" s="116">
        <f>IF('Skema1-7_2008'!G15=0,"-",'Skema1-7_2009'!G15/'Skema1-7_2008'!G15*100-100)</f>
        <v>-25.928413478010626</v>
      </c>
      <c r="H15" s="116">
        <f>IF('Skema1-7_2008'!H15=0,"-",'Skema1-7_2009'!H15/'Skema1-7_2008'!H15*100-100)</f>
        <v>-30.59311968456629</v>
      </c>
      <c r="I15" s="116">
        <f>IF('Skema1-7_2008'!I15=0,"-",'Skema1-7_2009'!I15/'Skema1-7_2008'!I15*100-100)</f>
        <v>39.493077488429378</v>
      </c>
      <c r="J15" s="13">
        <f>IF('Skema1-7_2008'!J15=0,"-",'Skema1-7_2009'!J15/'Skema1-7_2008'!J15*100-100)</f>
        <v>4.9140126815860015</v>
      </c>
      <c r="N15" s="3"/>
      <c r="O15" s="3"/>
      <c r="P15" s="3"/>
      <c r="Q15" s="3"/>
      <c r="R15" s="3"/>
    </row>
    <row r="16" spans="1:18" ht="13.5" customHeight="1">
      <c r="A16" s="36">
        <v>2501</v>
      </c>
      <c r="B16" s="36" t="s">
        <v>56</v>
      </c>
      <c r="C16" s="116">
        <f>IF('Skema1-7_2008'!C16=0,"-",'Skema1-7_2009'!C16/'Skema1-7_2008'!C16*100-100)</f>
        <v>2.2315355013575555</v>
      </c>
      <c r="D16" s="116">
        <f>IF('Skema1-7_2008'!D16=0,"-",'Skema1-7_2009'!D16/'Skema1-7_2008'!D16*100-100)</f>
        <v>5.2429257082968093</v>
      </c>
      <c r="E16" s="116">
        <f>IF('Skema1-7_2008'!E16=0,"-",'Skema1-7_2009'!E16/'Skema1-7_2008'!E16*100-100)</f>
        <v>45.429716565119037</v>
      </c>
      <c r="F16" s="116">
        <f>IF('Skema1-7_2008'!F16=0,"-",'Skema1-7_2009'!F16/'Skema1-7_2008'!F16*100-100)</f>
        <v>29.66028770787733</v>
      </c>
      <c r="G16" s="116">
        <f>IF('Skema1-7_2008'!G16=0,"-",'Skema1-7_2009'!G16/'Skema1-7_2008'!G16*100-100)</f>
        <v>4.7145213783377642</v>
      </c>
      <c r="H16" s="116">
        <f>IF('Skema1-7_2008'!H16=0,"-",'Skema1-7_2009'!H16/'Skema1-7_2008'!H16*100-100)</f>
        <v>-30.651073085794351</v>
      </c>
      <c r="I16" s="116">
        <f>IF('Skema1-7_2008'!I16=0,"-",'Skema1-7_2009'!I16/'Skema1-7_2008'!I16*100-100)</f>
        <v>38.49161419330062</v>
      </c>
      <c r="J16" s="13">
        <f>IF('Skema1-7_2008'!J16=0,"-",'Skema1-7_2009'!J16/'Skema1-7_2008'!J16*100-100)</f>
        <v>5.2655764586416325</v>
      </c>
      <c r="N16" s="3"/>
      <c r="O16" s="3"/>
      <c r="P16" s="3"/>
      <c r="Q16" s="3"/>
      <c r="R16" s="3"/>
    </row>
    <row r="17" spans="1:18" ht="13.5" customHeight="1">
      <c r="A17" s="36">
        <v>4202</v>
      </c>
      <c r="B17" s="36" t="s">
        <v>12</v>
      </c>
      <c r="C17" s="115">
        <f>IF('Skema1-7_2008'!C17=0,"-",'Skema1-7_2009'!C17/'Skema1-7_2008'!C17*100-100)</f>
        <v>3.0415575497408867</v>
      </c>
      <c r="D17" s="115">
        <f>IF('Skema1-7_2008'!D17=0,"-",'Skema1-7_2009'!D17/'Skema1-7_2008'!D17*100-100)</f>
        <v>12.424125052982475</v>
      </c>
      <c r="E17" s="115">
        <f>IF('Skema1-7_2008'!E17=0,"-",'Skema1-7_2009'!E17/'Skema1-7_2008'!E17*100-100)</f>
        <v>-5.2978784645583517</v>
      </c>
      <c r="F17" s="115">
        <f>IF('Skema1-7_2008'!F17=0,"-",'Skema1-7_2009'!F17/'Skema1-7_2008'!F17*100-100)</f>
        <v>-77.58808680975639</v>
      </c>
      <c r="G17" s="115">
        <f>IF('Skema1-7_2008'!G17=0,"-",'Skema1-7_2009'!G17/'Skema1-7_2008'!G17*100-100)</f>
        <v>-73.938228554031284</v>
      </c>
      <c r="H17" s="115">
        <f>IF('Skema1-7_2008'!H17=0,"-",'Skema1-7_2009'!H17/'Skema1-7_2008'!H17*100-100)</f>
        <v>9.9982432455443728</v>
      </c>
      <c r="I17" s="115">
        <f>IF('Skema1-7_2008'!I17=0,"-",'Skema1-7_2009'!I17/'Skema1-7_2008'!I17*100-100)</f>
        <v>18.84354092916945</v>
      </c>
      <c r="J17" s="13">
        <f>IF('Skema1-7_2008'!J17=0,"-",'Skema1-7_2009'!J17/'Skema1-7_2008'!J17*100-100)</f>
        <v>4.5027756697444232</v>
      </c>
      <c r="N17" s="3"/>
      <c r="O17" s="3"/>
      <c r="P17" s="3"/>
      <c r="Q17" s="3"/>
      <c r="R17" s="3"/>
    </row>
    <row r="18" spans="1:18" ht="13.5" customHeight="1">
      <c r="A18" s="36">
        <v>4212</v>
      </c>
      <c r="B18" s="36" t="s">
        <v>50</v>
      </c>
      <c r="C18" s="115">
        <f>IF('Skema1-7_2008'!C18=0,"-",'Skema1-7_2009'!C18/'Skema1-7_2008'!C18*100-100)</f>
        <v>-4.2975802465778656</v>
      </c>
      <c r="D18" s="115">
        <f>IF('Skema1-7_2008'!D18=0,"-",'Skema1-7_2009'!D18/'Skema1-7_2008'!D18*100-100)</f>
        <v>5.6400024690125719</v>
      </c>
      <c r="E18" s="115">
        <f>IF('Skema1-7_2008'!E18=0,"-",'Skema1-7_2009'!E18/'Skema1-7_2008'!E18*100-100)</f>
        <v>-11.218545451913513</v>
      </c>
      <c r="F18" s="115">
        <f>IF('Skema1-7_2008'!F18=0,"-",'Skema1-7_2009'!F18/'Skema1-7_2008'!F18*100-100)</f>
        <v>46.161184758984461</v>
      </c>
      <c r="G18" s="115">
        <f>IF('Skema1-7_2008'!G18=0,"-",'Skema1-7_2009'!G18/'Skema1-7_2008'!G18*100-100)</f>
        <v>-79.765514535558069</v>
      </c>
      <c r="H18" s="115">
        <f>IF('Skema1-7_2008'!H18=0,"-",'Skema1-7_2009'!H18/'Skema1-7_2008'!H18*100-100)</f>
        <v>-11.172727140511043</v>
      </c>
      <c r="I18" s="115">
        <f>IF('Skema1-7_2008'!I18=0,"-",'Skema1-7_2009'!I18/'Skema1-7_2008'!I18*100-100)</f>
        <v>-0.86248404293407077</v>
      </c>
      <c r="J18" s="13">
        <f>IF('Skema1-7_2008'!J18=0,"-",'Skema1-7_2009'!J18/'Skema1-7_2008'!J18*100-100)</f>
        <v>-2.9425998019435866</v>
      </c>
      <c r="N18" s="3"/>
      <c r="O18" s="82"/>
      <c r="P18" s="83"/>
      <c r="Q18" s="3"/>
      <c r="R18" s="3"/>
    </row>
    <row r="19" spans="1:18" ht="13.5" customHeight="1">
      <c r="A19" s="36">
        <v>5000</v>
      </c>
      <c r="B19" s="36" t="s">
        <v>57</v>
      </c>
      <c r="C19" s="115">
        <f>IF('Skema1-7_2008'!C19=0,"-",'Skema1-7_2009'!C19/'Skema1-7_2008'!C19*100-100)</f>
        <v>-2.7078685359068118</v>
      </c>
      <c r="D19" s="115">
        <f>IF('Skema1-7_2008'!D19=0,"-",'Skema1-7_2009'!D19/'Skema1-7_2008'!D19*100-100)</f>
        <v>7.8901906490650475</v>
      </c>
      <c r="E19" s="115">
        <f>IF('Skema1-7_2008'!E19=0,"-",'Skema1-7_2009'!E19/'Skema1-7_2008'!E19*100-100)</f>
        <v>-9.0680291943346987</v>
      </c>
      <c r="F19" s="115" t="str">
        <f>IF('Skema1-7_2008'!F19=0,"-",'Skema1-7_2009'!F19/'Skema1-7_2008'!F19*100-100)</f>
        <v>-</v>
      </c>
      <c r="G19" s="115">
        <f>IF('Skema1-7_2008'!G19=0,"-",'Skema1-7_2009'!G19/'Skema1-7_2008'!G19*100-100)</f>
        <v>-51.735010655039176</v>
      </c>
      <c r="H19" s="115">
        <f>IF('Skema1-7_2008'!H19=0,"-",'Skema1-7_2009'!H19/'Skema1-7_2008'!H19*100-100)</f>
        <v>-21.424989838729061</v>
      </c>
      <c r="I19" s="115">
        <f>IF('Skema1-7_2008'!I19=0,"-",'Skema1-7_2009'!I19/'Skema1-7_2008'!I19*100-100)</f>
        <v>-192.2375154778814</v>
      </c>
      <c r="J19" s="13">
        <f>IF('Skema1-7_2008'!J19=0,"-",'Skema1-7_2009'!J19/'Skema1-7_2008'!J19*100-100)</f>
        <v>-1.0932708437167378</v>
      </c>
      <c r="N19" s="3"/>
      <c r="O19" s="82"/>
      <c r="P19" s="83"/>
      <c r="Q19" s="3"/>
      <c r="R19" s="3"/>
    </row>
    <row r="20" spans="1:18" ht="13.5" customHeight="1">
      <c r="A20" s="36">
        <v>5501</v>
      </c>
      <c r="B20" s="36" t="s">
        <v>13</v>
      </c>
      <c r="C20" s="115">
        <f>IF('Skema1-7_2008'!C20=0,"-",'Skema1-7_2009'!C20/'Skema1-7_2008'!C20*100-100)</f>
        <v>2.1781978266529336</v>
      </c>
      <c r="D20" s="115">
        <f>IF('Skema1-7_2008'!D20=0,"-",'Skema1-7_2009'!D20/'Skema1-7_2008'!D20*100-100)</f>
        <v>11.738390546250073</v>
      </c>
      <c r="E20" s="115">
        <f>IF('Skema1-7_2008'!E20=0,"-",'Skema1-7_2009'!E20/'Skema1-7_2008'!E20*100-100)</f>
        <v>-5.8750385347645135</v>
      </c>
      <c r="F20" s="115" t="str">
        <f>IF('Skema1-7_2008'!F20=0,"-",'Skema1-7_2009'!F20/'Skema1-7_2008'!F20*100-100)</f>
        <v>-</v>
      </c>
      <c r="G20" s="115">
        <f>IF('Skema1-7_2008'!G20=0,"-",'Skema1-7_2009'!G20/'Skema1-7_2008'!G20*100-100)</f>
        <v>27.474249633759953</v>
      </c>
      <c r="H20" s="115">
        <f>IF('Skema1-7_2008'!H20=0,"-",'Skema1-7_2009'!H20/'Skema1-7_2008'!H20*100-100)</f>
        <v>-14.720729381806336</v>
      </c>
      <c r="I20" s="115">
        <f>IF('Skema1-7_2008'!I20=0,"-",'Skema1-7_2009'!I20/'Skema1-7_2008'!I20*100-100)</f>
        <v>-148.34387369233309</v>
      </c>
      <c r="J20" s="13">
        <f>IF('Skema1-7_2008'!J20=0,"-",'Skema1-7_2009'!J20/'Skema1-7_2008'!J20*100-100)</f>
        <v>3.2364656506062914</v>
      </c>
      <c r="N20" s="3"/>
      <c r="O20" s="82"/>
      <c r="P20" s="83"/>
      <c r="Q20" s="3"/>
      <c r="R20" s="3"/>
    </row>
    <row r="21" spans="1:18" ht="13.5" customHeight="1">
      <c r="A21" s="36">
        <v>6007</v>
      </c>
      <c r="B21" s="36" t="s">
        <v>14</v>
      </c>
      <c r="C21" s="115">
        <f>IF('Skema1-7_2008'!C21=0,"-",'Skema1-7_2009'!C21/'Skema1-7_2008'!C21*100-100)</f>
        <v>8.1036150278404762</v>
      </c>
      <c r="D21" s="115">
        <f>IF('Skema1-7_2008'!D21=0,"-",'Skema1-7_2009'!D21/'Skema1-7_2008'!D21*100-100)</f>
        <v>20.972877000868976</v>
      </c>
      <c r="E21" s="115">
        <f>IF('Skema1-7_2008'!E21=0,"-",'Skema1-7_2009'!E21/'Skema1-7_2008'!E21*100-100)</f>
        <v>1.7222707999613931</v>
      </c>
      <c r="F21" s="115" t="str">
        <f>IF('Skema1-7_2008'!F21=0,"-",'Skema1-7_2009'!F21/'Skema1-7_2008'!F21*100-100)</f>
        <v>-</v>
      </c>
      <c r="G21" s="115">
        <f>IF('Skema1-7_2008'!G21=0,"-",'Skema1-7_2009'!G21/'Skema1-7_2008'!G21*100-100)</f>
        <v>-24.13166641718972</v>
      </c>
      <c r="H21" s="115">
        <f>IF('Skema1-7_2008'!H21=0,"-",'Skema1-7_2009'!H21/'Skema1-7_2008'!H21*100-100)</f>
        <v>35.364308835293713</v>
      </c>
      <c r="I21" s="115">
        <f>IF('Skema1-7_2008'!I21=0,"-",'Skema1-7_2009'!I21/'Skema1-7_2008'!I21*100-100)</f>
        <v>-57.364588615638745</v>
      </c>
      <c r="J21" s="13">
        <f>IF('Skema1-7_2008'!J21=0,"-",'Skema1-7_2009'!J21/'Skema1-7_2008'!J21*100-100)</f>
        <v>5.3670067474169514</v>
      </c>
      <c r="N21" s="3"/>
      <c r="O21" s="82"/>
      <c r="P21" s="83"/>
      <c r="Q21" s="3"/>
      <c r="R21" s="3"/>
    </row>
    <row r="22" spans="1:18" ht="13.5" customHeight="1">
      <c r="A22" s="36">
        <v>6008</v>
      </c>
      <c r="B22" s="36" t="s">
        <v>85</v>
      </c>
      <c r="C22" s="115">
        <f>IF('Skema1-7_2008'!C22=0,"-",'Skema1-7_2009'!C22/'Skema1-7_2008'!C22*100-100)</f>
        <v>11.862261339427278</v>
      </c>
      <c r="D22" s="115">
        <f>IF('Skema1-7_2008'!D22=0,"-",'Skema1-7_2009'!D22/'Skema1-7_2008'!D22*100-100)</f>
        <v>24.733397481331593</v>
      </c>
      <c r="E22" s="115">
        <f>IF('Skema1-7_2008'!E22=0,"-",'Skema1-7_2009'!E22/'Skema1-7_2008'!E22*100-100)</f>
        <v>5.0645472759412513</v>
      </c>
      <c r="F22" s="115" t="str">
        <f>IF('Skema1-7_2008'!F22=0,"-",'Skema1-7_2009'!F22/'Skema1-7_2008'!F22*100-100)</f>
        <v>-</v>
      </c>
      <c r="G22" s="115">
        <f>IF('Skema1-7_2008'!G22=0,"-",'Skema1-7_2009'!G22/'Skema1-7_2008'!G22*100-100)</f>
        <v>29.055397223158451</v>
      </c>
      <c r="H22" s="115">
        <f>IF('Skema1-7_2008'!H22=0,"-",'Skema1-7_2009'!H22/'Skema1-7_2008'!H22*100-100)</f>
        <v>-0.14469566195286632</v>
      </c>
      <c r="I22" s="115">
        <f>IF('Skema1-7_2008'!I22=0,"-",'Skema1-7_2009'!I22/'Skema1-7_2008'!I22*100-100)</f>
        <v>-61.873615546709935</v>
      </c>
      <c r="J22" s="13">
        <f>IF('Skema1-7_2008'!J22=0,"-",'Skema1-7_2009'!J22/'Skema1-7_2008'!J22*100-100)</f>
        <v>17.09783289269096</v>
      </c>
      <c r="N22" s="3"/>
      <c r="O22" s="3"/>
      <c r="P22" s="3"/>
      <c r="Q22" s="3"/>
      <c r="R22" s="3"/>
    </row>
    <row r="23" spans="1:18" ht="13.5" customHeight="1">
      <c r="A23" s="36">
        <v>6013</v>
      </c>
      <c r="B23" s="36" t="s">
        <v>73</v>
      </c>
      <c r="C23" s="115">
        <f>IF('Skema1-7_2008'!C23=0,"-",'Skema1-7_2009'!C23/'Skema1-7_2008'!C23*100-100)</f>
        <v>121.25065893187187</v>
      </c>
      <c r="D23" s="115">
        <f>IF('Skema1-7_2008'!D23=0,"-",'Skema1-7_2009'!D23/'Skema1-7_2008'!D23*100-100)</f>
        <v>89.389738534849272</v>
      </c>
      <c r="E23" s="115">
        <f>IF('Skema1-7_2008'!E23=0,"-",'Skema1-7_2009'!E23/'Skema1-7_2008'!E23*100-100)</f>
        <v>70.283608829395234</v>
      </c>
      <c r="F23" s="115" t="str">
        <f>IF('Skema1-7_2008'!F23=0,"-",'Skema1-7_2009'!F23/'Skema1-7_2008'!F23*100-100)</f>
        <v>-</v>
      </c>
      <c r="G23" s="115">
        <f>IF('Skema1-7_2008'!G23=0,"-",'Skema1-7_2009'!G23/'Skema1-7_2008'!G23*100-100)</f>
        <v>-100</v>
      </c>
      <c r="H23" s="115" t="str">
        <f>IF('Skema1-7_2008'!H23=0,"-",'Skema1-7_2009'!H23/'Skema1-7_2008'!H23*100-100)</f>
        <v>-</v>
      </c>
      <c r="I23" s="115">
        <f>IF('Skema1-7_2008'!I23=0,"-",'Skema1-7_2009'!I23/'Skema1-7_2008'!I23*100-100)</f>
        <v>-100.14936296694597</v>
      </c>
      <c r="J23" s="13">
        <f>IF('Skema1-7_2008'!J23=0,"-",'Skema1-7_2009'!J23/'Skema1-7_2008'!J23*100-100)</f>
        <v>114.46135665233706</v>
      </c>
      <c r="N23" s="3"/>
      <c r="O23" s="3"/>
      <c r="P23" s="3"/>
      <c r="Q23" s="3"/>
      <c r="R23" s="3"/>
    </row>
    <row r="24" spans="1:18" ht="13.5" customHeight="1">
      <c r="A24" s="36">
        <v>6014</v>
      </c>
      <c r="B24" s="36" t="s">
        <v>74</v>
      </c>
      <c r="C24" s="115">
        <f>IF('Skema1-7_2008'!C24=0,"-",'Skema1-7_2009'!C24/'Skema1-7_2008'!C24*100-100)</f>
        <v>-13.12224363619589</v>
      </c>
      <c r="D24" s="115">
        <f>IF('Skema1-7_2008'!D24=0,"-",'Skema1-7_2009'!D24/'Skema1-7_2008'!D24*100-100)</f>
        <v>5.508945482856447</v>
      </c>
      <c r="E24" s="115">
        <f>IF('Skema1-7_2008'!E24=0,"-",'Skema1-7_2009'!E24/'Skema1-7_2008'!E24*100-100)</f>
        <v>21.901950431206913</v>
      </c>
      <c r="F24" s="115" t="str">
        <f>IF('Skema1-7_2008'!F24=0,"-",'Skema1-7_2009'!F24/'Skema1-7_2008'!F24*100-100)</f>
        <v>-</v>
      </c>
      <c r="G24" s="115">
        <f>IF('Skema1-7_2008'!G24=0,"-",'Skema1-7_2009'!G24/'Skema1-7_2008'!G24*100-100)</f>
        <v>-61.971402494675999</v>
      </c>
      <c r="H24" s="115" t="str">
        <f>IF('Skema1-7_2008'!H24=0,"-",'Skema1-7_2009'!H24/'Skema1-7_2008'!H24*100-100)</f>
        <v>-</v>
      </c>
      <c r="I24" s="115">
        <f>IF('Skema1-7_2008'!I24=0,"-",'Skema1-7_2009'!I24/'Skema1-7_2008'!I24*100-100)</f>
        <v>61.162641334707473</v>
      </c>
      <c r="J24" s="13">
        <f>IF('Skema1-7_2008'!J24=0,"-",'Skema1-7_2009'!J24/'Skema1-7_2008'!J24*100-100)</f>
        <v>-10.388227910319685</v>
      </c>
      <c r="N24" s="3"/>
      <c r="O24" s="3"/>
      <c r="P24" s="3"/>
      <c r="Q24" s="3"/>
      <c r="R24" s="3"/>
    </row>
    <row r="25" spans="1:18" ht="13.5" customHeight="1">
      <c r="A25" s="36">
        <v>6006</v>
      </c>
      <c r="B25" s="36" t="s">
        <v>51</v>
      </c>
      <c r="C25" s="115">
        <f>IF('Skema1-7_2008'!C25=0,"-",'Skema1-7_2009'!C25/'Skema1-7_2008'!C25*100-100)</f>
        <v>4.5107572080094371</v>
      </c>
      <c r="D25" s="115">
        <f>IF('Skema1-7_2008'!D25=0,"-",'Skema1-7_2009'!D25/'Skema1-7_2008'!D25*100-100)</f>
        <v>-36.855811910955651</v>
      </c>
      <c r="E25" s="115">
        <f>IF('Skema1-7_2008'!E25=0,"-",'Skema1-7_2009'!E25/'Skema1-7_2008'!E25*100-100)</f>
        <v>33.483254462639877</v>
      </c>
      <c r="F25" s="115">
        <f>IF('Skema1-7_2008'!F25=0,"-",'Skema1-7_2009'!F25/'Skema1-7_2008'!F25*100-100)</f>
        <v>-100</v>
      </c>
      <c r="G25" s="115">
        <f>IF('Skema1-7_2008'!G25=0,"-",'Skema1-7_2009'!G25/'Skema1-7_2008'!G25*100-100)</f>
        <v>-70.53706717548684</v>
      </c>
      <c r="H25" s="115">
        <f>IF('Skema1-7_2008'!H25=0,"-",'Skema1-7_2009'!H25/'Skema1-7_2008'!H25*100-100)</f>
        <v>2.3146362377517846</v>
      </c>
      <c r="I25" s="115">
        <f>IF('Skema1-7_2008'!I25=0,"-",'Skema1-7_2009'!I25/'Skema1-7_2008'!I25*100-100)</f>
        <v>-207.26604528848924</v>
      </c>
      <c r="J25" s="13">
        <f>IF('Skema1-7_2008'!J25=0,"-",'Skema1-7_2009'!J25/'Skema1-7_2008'!J25*100-100)</f>
        <v>2.8513930069414215</v>
      </c>
      <c r="N25" s="3"/>
      <c r="O25" s="3"/>
      <c r="P25" s="3"/>
      <c r="Q25" s="3"/>
      <c r="R25" s="3"/>
    </row>
    <row r="26" spans="1:18" ht="13.5" customHeight="1">
      <c r="A26" s="36">
        <v>6500</v>
      </c>
      <c r="B26" s="36" t="s">
        <v>15</v>
      </c>
      <c r="C26" s="115">
        <f>IF('Skema1-7_2008'!C26=0,"-",'Skema1-7_2009'!C26/'Skema1-7_2008'!C26*100-100)</f>
        <v>3.0368814778048119</v>
      </c>
      <c r="D26" s="115">
        <f>IF('Skema1-7_2008'!D26=0,"-",'Skema1-7_2009'!D26/'Skema1-7_2008'!D26*100-100)</f>
        <v>13.174854716778839</v>
      </c>
      <c r="E26" s="115">
        <f>IF('Skema1-7_2008'!E26=0,"-",'Skema1-7_2009'!E26/'Skema1-7_2008'!E26*100-100)</f>
        <v>30.392991762730503</v>
      </c>
      <c r="F26" s="115" t="str">
        <f>IF('Skema1-7_2008'!F26=0,"-",'Skema1-7_2009'!F26/'Skema1-7_2008'!F26*100-100)</f>
        <v>-</v>
      </c>
      <c r="G26" s="115">
        <f>IF('Skema1-7_2008'!G26=0,"-",'Skema1-7_2009'!G26/'Skema1-7_2008'!G26*100-100)</f>
        <v>-66.092792378158975</v>
      </c>
      <c r="H26" s="115">
        <f>IF('Skema1-7_2008'!H26=0,"-",'Skema1-7_2009'!H26/'Skema1-7_2008'!H26*100-100)</f>
        <v>7.0368264172166164</v>
      </c>
      <c r="I26" s="115">
        <f>IF('Skema1-7_2008'!I26=0,"-",'Skema1-7_2009'!I26/'Skema1-7_2008'!I26*100-100)</f>
        <v>-3.6608863198458579</v>
      </c>
      <c r="J26" s="13">
        <f>IF('Skema1-7_2008'!J26=0,"-",'Skema1-7_2009'!J26/'Skema1-7_2008'!J26*100-100)</f>
        <v>4.1011284265980947</v>
      </c>
      <c r="N26" s="3"/>
      <c r="O26" s="3"/>
      <c r="P26" s="3"/>
      <c r="Q26" s="3"/>
      <c r="R26" s="3"/>
    </row>
    <row r="27" spans="1:18" ht="13.5" customHeight="1">
      <c r="A27" s="36">
        <v>7002</v>
      </c>
      <c r="B27" s="36" t="s">
        <v>16</v>
      </c>
      <c r="C27" s="115">
        <f>IF('Skema1-7_2008'!C27=0,"-",'Skema1-7_2009'!C27/'Skema1-7_2008'!C27*100-100)</f>
        <v>-1.9574177426065233</v>
      </c>
      <c r="D27" s="115">
        <f>IF('Skema1-7_2008'!D27=0,"-",'Skema1-7_2009'!D27/'Skema1-7_2008'!D27*100-100)</f>
        <v>40.305894230841204</v>
      </c>
      <c r="E27" s="115">
        <f>IF('Skema1-7_2008'!E27=0,"-",'Skema1-7_2009'!E27/'Skema1-7_2008'!E27*100-100)</f>
        <v>20.318914271621111</v>
      </c>
      <c r="F27" s="115">
        <f>IF('Skema1-7_2008'!F27=0,"-",'Skema1-7_2009'!F27/'Skema1-7_2008'!F27*100-100)</f>
        <v>-25.106810756471475</v>
      </c>
      <c r="G27" s="115">
        <f>IF('Skema1-7_2008'!G27=0,"-",'Skema1-7_2009'!G27/'Skema1-7_2008'!G27*100-100)</f>
        <v>-30.977293236750327</v>
      </c>
      <c r="H27" s="115">
        <f>IF('Skema1-7_2008'!H27=0,"-",'Skema1-7_2009'!H27/'Skema1-7_2008'!H27*100-100)</f>
        <v>9.6622483905720742</v>
      </c>
      <c r="I27" s="115">
        <f>IF('Skema1-7_2008'!I27=0,"-",'Skema1-7_2009'!I27/'Skema1-7_2008'!I27*100-100)</f>
        <v>11.216482016698777</v>
      </c>
      <c r="J27" s="13">
        <f>IF('Skema1-7_2008'!J27=0,"-",'Skema1-7_2009'!J27/'Skema1-7_2008'!J27*100-100)</f>
        <v>-0.68805295595822713</v>
      </c>
      <c r="N27" s="3"/>
      <c r="O27" s="3"/>
      <c r="P27" s="3"/>
      <c r="Q27" s="3"/>
      <c r="R27" s="3"/>
    </row>
    <row r="28" spans="1:18" ht="13.5" customHeight="1">
      <c r="A28" s="36">
        <v>7003</v>
      </c>
      <c r="B28" s="36" t="s">
        <v>17</v>
      </c>
      <c r="C28" s="115">
        <f>IF('Skema1-7_2008'!C28=0,"-",'Skema1-7_2009'!C28/'Skema1-7_2008'!C28*100-100)</f>
        <v>5.3293656119119959</v>
      </c>
      <c r="D28" s="115">
        <f>IF('Skema1-7_2008'!D28=0,"-",'Skema1-7_2009'!D28/'Skema1-7_2008'!D28*100-100)</f>
        <v>38.421529223097082</v>
      </c>
      <c r="E28" s="115">
        <f>IF('Skema1-7_2008'!E28=0,"-",'Skema1-7_2009'!E28/'Skema1-7_2008'!E28*100-100)</f>
        <v>32.288026711522321</v>
      </c>
      <c r="F28" s="115" t="str">
        <f>IF('Skema1-7_2008'!F28=0,"-",'Skema1-7_2009'!F28/'Skema1-7_2008'!F28*100-100)</f>
        <v>-</v>
      </c>
      <c r="G28" s="115">
        <f>IF('Skema1-7_2008'!G28=0,"-",'Skema1-7_2009'!G28/'Skema1-7_2008'!G28*100-100)</f>
        <v>98.977460135109652</v>
      </c>
      <c r="H28" s="115">
        <f>IF('Skema1-7_2008'!H28=0,"-",'Skema1-7_2009'!H28/'Skema1-7_2008'!H28*100-100)</f>
        <v>-61.892629274505204</v>
      </c>
      <c r="I28" s="115">
        <f>IF('Skema1-7_2008'!I28=0,"-",'Skema1-7_2009'!I28/'Skema1-7_2008'!I28*100-100)</f>
        <v>-87.569371013651363</v>
      </c>
      <c r="J28" s="13">
        <f>IF('Skema1-7_2008'!J28=0,"-",'Skema1-7_2009'!J28/'Skema1-7_2008'!J28*100-100)</f>
        <v>9.4378704347345916</v>
      </c>
      <c r="N28" s="3"/>
      <c r="O28" s="82"/>
      <c r="P28" s="82"/>
      <c r="Q28" s="3"/>
      <c r="R28" s="3"/>
    </row>
    <row r="29" spans="1:18" ht="13.5" customHeight="1">
      <c r="A29" s="36">
        <v>7005</v>
      </c>
      <c r="B29" s="36" t="s">
        <v>18</v>
      </c>
      <c r="C29" s="115">
        <f>IF('Skema1-7_2008'!C29=0,"-",'Skema1-7_2009'!C29/'Skema1-7_2008'!C29*100-100)</f>
        <v>-4.4974995801268847E-2</v>
      </c>
      <c r="D29" s="115">
        <f>IF('Skema1-7_2008'!D29=0,"-",'Skema1-7_2009'!D29/'Skema1-7_2008'!D29*100-100)</f>
        <v>3.5431225901259751</v>
      </c>
      <c r="E29" s="115">
        <f>IF('Skema1-7_2008'!E29=0,"-",'Skema1-7_2009'!E29/'Skema1-7_2008'!E29*100-100)</f>
        <v>28.518593295557224</v>
      </c>
      <c r="F29" s="115">
        <f>IF('Skema1-7_2008'!F29=0,"-",'Skema1-7_2009'!F29/'Skema1-7_2008'!F29*100-100)</f>
        <v>-4.0493504879109992</v>
      </c>
      <c r="G29" s="115">
        <f>IF('Skema1-7_2008'!G29=0,"-",'Skema1-7_2009'!G29/'Skema1-7_2008'!G29*100-100)</f>
        <v>2.383202561228444</v>
      </c>
      <c r="H29" s="115">
        <f>IF('Skema1-7_2008'!H29=0,"-",'Skema1-7_2009'!H29/'Skema1-7_2008'!H29*100-100)</f>
        <v>-23.522801271406038</v>
      </c>
      <c r="I29" s="115">
        <f>IF('Skema1-7_2008'!I29=0,"-",'Skema1-7_2009'!I29/'Skema1-7_2008'!I29*100-100)</f>
        <v>67.926971793170964</v>
      </c>
      <c r="J29" s="13">
        <f>IF('Skema1-7_2008'!J29=0,"-",'Skema1-7_2009'!J29/'Skema1-7_2008'!J29*100-100)</f>
        <v>2.8744750701927586</v>
      </c>
      <c r="N29" s="3"/>
      <c r="O29" s="82"/>
      <c r="P29" s="83"/>
      <c r="Q29" s="3"/>
      <c r="R29" s="3"/>
    </row>
    <row r="30" spans="1:18" ht="13.5" customHeight="1">
      <c r="A30" s="36">
        <v>7026</v>
      </c>
      <c r="B30" s="36" t="s">
        <v>52</v>
      </c>
      <c r="C30" s="116">
        <f>IF('Skema1-7_2008'!C30=0,"-",'Skema1-7_2009'!C30/'Skema1-7_2008'!C30*100-100)</f>
        <v>7.2740384557941269</v>
      </c>
      <c r="D30" s="116">
        <f>IF('Skema1-7_2008'!D30=0,"-",'Skema1-7_2009'!D30/'Skema1-7_2008'!D30*100-100)</f>
        <v>-2.0162861044549061</v>
      </c>
      <c r="E30" s="116">
        <f>IF('Skema1-7_2008'!E30=0,"-",'Skema1-7_2009'!E30/'Skema1-7_2008'!E30*100-100)</f>
        <v>-4.1298410186594339</v>
      </c>
      <c r="F30" s="116" t="str">
        <f>IF('Skema1-7_2008'!F30=0,"-",'Skema1-7_2009'!F30/'Skema1-7_2008'!F30*100-100)</f>
        <v>-</v>
      </c>
      <c r="G30" s="116">
        <f>IF('Skema1-7_2008'!G30=0,"-",'Skema1-7_2009'!G30/'Skema1-7_2008'!G30*100-100)</f>
        <v>187.21098265895949</v>
      </c>
      <c r="H30" s="116">
        <f>IF('Skema1-7_2008'!H30=0,"-",'Skema1-7_2009'!H30/'Skema1-7_2008'!H30*100-100)</f>
        <v>50.123562202105518</v>
      </c>
      <c r="I30" s="116">
        <f>IF('Skema1-7_2008'!I30=0,"-",'Skema1-7_2009'!I30/'Skema1-7_2008'!I30*100-100)</f>
        <v>-16.562244007808985</v>
      </c>
      <c r="J30" s="13">
        <f>IF('Skema1-7_2008'!J30=0,"-",'Skema1-7_2009'!J30/'Skema1-7_2008'!J30*100-100)</f>
        <v>4.6583111803288944</v>
      </c>
      <c r="N30" s="3"/>
      <c r="O30" s="3"/>
      <c r="P30" s="3"/>
      <c r="Q30" s="3"/>
      <c r="R30" s="3"/>
    </row>
    <row r="31" spans="1:18" ht="13.5" customHeight="1">
      <c r="A31" s="36">
        <v>7601</v>
      </c>
      <c r="B31" s="36" t="s">
        <v>53</v>
      </c>
      <c r="C31" s="116">
        <f>IF('Skema1-7_2008'!C31=0,"-",'Skema1-7_2009'!C31/'Skema1-7_2008'!C31*100-100)</f>
        <v>4.1889330608249224</v>
      </c>
      <c r="D31" s="116">
        <f>IF('Skema1-7_2008'!D31=0,"-",'Skema1-7_2009'!D31/'Skema1-7_2008'!D31*100-100)</f>
        <v>162.58751294332598</v>
      </c>
      <c r="E31" s="116">
        <f>IF('Skema1-7_2008'!E31=0,"-",'Skema1-7_2009'!E31/'Skema1-7_2008'!E31*100-100)</f>
        <v>33.879415422979804</v>
      </c>
      <c r="F31" s="116" t="str">
        <f>IF('Skema1-7_2008'!F31=0,"-",'Skema1-7_2009'!F31/'Skema1-7_2008'!F31*100-100)</f>
        <v>-</v>
      </c>
      <c r="G31" s="116">
        <f>IF('Skema1-7_2008'!G31=0,"-",'Skema1-7_2009'!G31/'Skema1-7_2008'!G31*100-100)</f>
        <v>-74.026219350938831</v>
      </c>
      <c r="H31" s="116">
        <f>IF('Skema1-7_2008'!H31=0,"-",'Skema1-7_2009'!H31/'Skema1-7_2008'!H31*100-100)</f>
        <v>-9.4246043209941064</v>
      </c>
      <c r="I31" s="116">
        <f>IF('Skema1-7_2008'!I31=0,"-",'Skema1-7_2009'!I31/'Skema1-7_2008'!I31*100-100)</f>
        <v>-16.727886074968239</v>
      </c>
      <c r="J31" s="13">
        <f>IF('Skema1-7_2008'!J31=0,"-",'Skema1-7_2009'!J31/'Skema1-7_2008'!J31*100-100)</f>
        <v>8.3516541927267411</v>
      </c>
      <c r="N31" s="3"/>
      <c r="O31" s="3"/>
      <c r="P31" s="3"/>
      <c r="Q31" s="3"/>
      <c r="R31" s="3"/>
    </row>
    <row r="32" spans="1:18" ht="13.5" customHeight="1">
      <c r="A32" s="36">
        <v>7603</v>
      </c>
      <c r="B32" s="36" t="s">
        <v>19</v>
      </c>
      <c r="C32" s="116">
        <f>IF('Skema1-7_2008'!C32=0,"-",'Skema1-7_2009'!C32/'Skema1-7_2008'!C32*100-100)</f>
        <v>6.2868763386291278</v>
      </c>
      <c r="D32" s="116">
        <f>IF('Skema1-7_2008'!D32=0,"-",'Skema1-7_2009'!D32/'Skema1-7_2008'!D32*100-100)</f>
        <v>16.847643873371055</v>
      </c>
      <c r="E32" s="116">
        <f>IF('Skema1-7_2008'!E32=0,"-",'Skema1-7_2009'!E32/'Skema1-7_2008'!E32*100-100)</f>
        <v>4.3235985653141427</v>
      </c>
      <c r="F32" s="116" t="str">
        <f>IF('Skema1-7_2008'!F32=0,"-",'Skema1-7_2009'!F32/'Skema1-7_2008'!F32*100-100)</f>
        <v>-</v>
      </c>
      <c r="G32" s="116">
        <f>IF('Skema1-7_2008'!G32=0,"-",'Skema1-7_2009'!G32/'Skema1-7_2008'!G32*100-100)</f>
        <v>-15.794644188514738</v>
      </c>
      <c r="H32" s="116">
        <f>IF('Skema1-7_2008'!H32=0,"-",'Skema1-7_2009'!H32/'Skema1-7_2008'!H32*100-100)</f>
        <v>-9.0968871943501455</v>
      </c>
      <c r="I32" s="116" t="str">
        <f>IF('Skema1-7_2008'!I32=0,"-",'Skema1-7_2009'!I32/'Skema1-7_2008'!I32*100-100)</f>
        <v>-</v>
      </c>
      <c r="J32" s="13">
        <f>IF('Skema1-7_2008'!J32=0,"-",'Skema1-7_2009'!J32/'Skema1-7_2008'!J32*100-100)</f>
        <v>7.6444640171873033</v>
      </c>
      <c r="N32" s="3"/>
      <c r="O32" s="3"/>
      <c r="P32" s="3"/>
      <c r="Q32" s="3"/>
      <c r="R32" s="3"/>
    </row>
    <row r="33" spans="1:18" ht="13.5" customHeight="1">
      <c r="A33" s="36">
        <v>8001</v>
      </c>
      <c r="B33" s="36" t="s">
        <v>54</v>
      </c>
      <c r="C33" s="116">
        <f>IF('Skema1-7_2008'!C33=0,"-",'Skema1-7_2009'!C33/'Skema1-7_2008'!C33*100-100)</f>
        <v>6.0761574626767185</v>
      </c>
      <c r="D33" s="116">
        <f>IF('Skema1-7_2008'!D33=0,"-",'Skema1-7_2009'!D33/'Skema1-7_2008'!D33*100-100)</f>
        <v>4.2727749101655519</v>
      </c>
      <c r="E33" s="116">
        <f>IF('Skema1-7_2008'!E33=0,"-",'Skema1-7_2009'!E33/'Skema1-7_2008'!E33*100-100)</f>
        <v>3.7740780193615535</v>
      </c>
      <c r="F33" s="116" t="str">
        <f>IF('Skema1-7_2008'!F33=0,"-",'Skema1-7_2009'!F33/'Skema1-7_2008'!F33*100-100)</f>
        <v>-</v>
      </c>
      <c r="G33" s="116">
        <f>IF('Skema1-7_2008'!G33=0,"-",'Skema1-7_2009'!G33/'Skema1-7_2008'!G33*100-100)</f>
        <v>-13.787359187594774</v>
      </c>
      <c r="H33" s="116">
        <f>IF('Skema1-7_2008'!H33=0,"-",'Skema1-7_2009'!H33/'Skema1-7_2008'!H33*100-100)</f>
        <v>9.3934195078212213</v>
      </c>
      <c r="I33" s="116">
        <f>IF('Skema1-7_2008'!I33=0,"-",'Skema1-7_2009'!I33/'Skema1-7_2008'!I33*100-100)</f>
        <v>-17.683331172595288</v>
      </c>
      <c r="J33" s="13">
        <f>IF('Skema1-7_2008'!J33=0,"-",'Skema1-7_2009'!J33/'Skema1-7_2008'!J33*100-100)</f>
        <v>6.3213718423731109</v>
      </c>
      <c r="N33" s="3"/>
      <c r="O33" s="3"/>
      <c r="P33" s="3"/>
      <c r="Q33" s="3"/>
      <c r="R33" s="3"/>
    </row>
    <row r="34" spans="1:18" ht="13.5" customHeight="1">
      <c r="A34" s="36">
        <v>8003</v>
      </c>
      <c r="B34" s="36" t="s">
        <v>20</v>
      </c>
      <c r="C34" s="116">
        <f>IF('Skema1-7_2008'!C34=0,"-",'Skema1-7_2009'!C34/'Skema1-7_2008'!C34*100-100)</f>
        <v>5.2049737825390565</v>
      </c>
      <c r="D34" s="116">
        <f>IF('Skema1-7_2008'!D34=0,"-",'Skema1-7_2009'!D34/'Skema1-7_2008'!D34*100-100)</f>
        <v>12.097157478147281</v>
      </c>
      <c r="E34" s="116">
        <f>IF('Skema1-7_2008'!E34=0,"-",'Skema1-7_2009'!E34/'Skema1-7_2008'!E34*100-100)</f>
        <v>3.5912992420221315</v>
      </c>
      <c r="F34" s="116" t="str">
        <f>IF('Skema1-7_2008'!F34=0,"-",'Skema1-7_2009'!F34/'Skema1-7_2008'!F34*100-100)</f>
        <v>-</v>
      </c>
      <c r="G34" s="116">
        <f>IF('Skema1-7_2008'!G34=0,"-",'Skema1-7_2009'!G34/'Skema1-7_2008'!G34*100-100)</f>
        <v>5.2814819054159727</v>
      </c>
      <c r="H34" s="116">
        <f>IF('Skema1-7_2008'!H34=0,"-",'Skema1-7_2009'!H34/'Skema1-7_2008'!H34*100-100)</f>
        <v>30.129339829043744</v>
      </c>
      <c r="I34" s="116">
        <f>IF('Skema1-7_2008'!I34=0,"-",'Skema1-7_2009'!I34/'Skema1-7_2008'!I34*100-100)</f>
        <v>4.1762730986046819</v>
      </c>
      <c r="J34" s="13">
        <f>IF('Skema1-7_2008'!J34=0,"-",'Skema1-7_2009'!J34/'Skema1-7_2008'!J34*100-100)</f>
        <v>4.1387764169848111</v>
      </c>
      <c r="N34" s="3"/>
      <c r="O34" s="82"/>
      <c r="P34" s="83"/>
      <c r="Q34" s="3"/>
      <c r="R34" s="3"/>
    </row>
    <row r="35" spans="1:18" ht="13.5" customHeight="1">
      <c r="A35" s="36">
        <v>8005</v>
      </c>
      <c r="B35" s="36" t="s">
        <v>21</v>
      </c>
      <c r="C35" s="116">
        <f>IF('Skema1-7_2008'!C35=0,"-",'Skema1-7_2009'!C35/'Skema1-7_2008'!C35*100-100)</f>
        <v>4.547647374389328</v>
      </c>
      <c r="D35" s="116">
        <f>IF('Skema1-7_2008'!D35=0,"-",'Skema1-7_2009'!D35/'Skema1-7_2008'!D35*100-100)</f>
        <v>21.203394524856378</v>
      </c>
      <c r="E35" s="116">
        <f>IF('Skema1-7_2008'!E35=0,"-",'Skema1-7_2009'!E35/'Skema1-7_2008'!E35*100-100)</f>
        <v>3.5367918613594895</v>
      </c>
      <c r="F35" s="116" t="str">
        <f>IF('Skema1-7_2008'!F35=0,"-",'Skema1-7_2009'!F35/'Skema1-7_2008'!F35*100-100)</f>
        <v>-</v>
      </c>
      <c r="G35" s="116">
        <f>IF('Skema1-7_2008'!G35=0,"-",'Skema1-7_2009'!G35/'Skema1-7_2008'!G35*100-100)</f>
        <v>48.749331280418573</v>
      </c>
      <c r="H35" s="116">
        <f>IF('Skema1-7_2008'!H35=0,"-",'Skema1-7_2009'!H35/'Skema1-7_2008'!H35*100-100)</f>
        <v>-23.858205038427329</v>
      </c>
      <c r="I35" s="116">
        <f>IF('Skema1-7_2008'!I35=0,"-",'Skema1-7_2009'!I35/'Skema1-7_2008'!I35*100-100)</f>
        <v>-3.7556591871919807</v>
      </c>
      <c r="J35" s="13">
        <f>IF('Skema1-7_2008'!J35=0,"-",'Skema1-7_2009'!J35/'Skema1-7_2008'!J35*100-100)</f>
        <v>7.5169211297957332</v>
      </c>
      <c r="N35" s="3"/>
      <c r="O35" s="3"/>
      <c r="P35" s="3"/>
      <c r="Q35" s="3"/>
      <c r="R35" s="3"/>
    </row>
    <row r="36" spans="1:18" ht="13.5" customHeight="1">
      <c r="A36" s="39">
        <v>8040</v>
      </c>
      <c r="B36" s="39" t="s">
        <v>55</v>
      </c>
      <c r="C36" s="117">
        <f>IF('Skema1-7_2008'!C36=0,"-",'Skema1-7_2009'!C36/'Skema1-7_2008'!C36*100-100)</f>
        <v>10.754563087624746</v>
      </c>
      <c r="D36" s="117">
        <f>IF('Skema1-7_2008'!D36=0,"-",'Skema1-7_2009'!D36/'Skema1-7_2008'!D36*100-100)</f>
        <v>24.524992992136731</v>
      </c>
      <c r="E36" s="117">
        <f>IF('Skema1-7_2008'!E36=0,"-",'Skema1-7_2009'!E36/'Skema1-7_2008'!E36*100-100)</f>
        <v>5.895074429381836</v>
      </c>
      <c r="F36" s="117" t="str">
        <f>IF('Skema1-7_2008'!F36=0,"-",'Skema1-7_2009'!F36/'Skema1-7_2008'!F36*100-100)</f>
        <v>-</v>
      </c>
      <c r="G36" s="117">
        <f>IF('Skema1-7_2008'!G36=0,"-",'Skema1-7_2009'!G36/'Skema1-7_2008'!G36*100-100)</f>
        <v>-12.322289284780851</v>
      </c>
      <c r="H36" s="117">
        <f>IF('Skema1-7_2008'!H36=0,"-",'Skema1-7_2009'!H36/'Skema1-7_2008'!H36*100-100)</f>
        <v>-46.424363399453853</v>
      </c>
      <c r="I36" s="117">
        <f>IF('Skema1-7_2008'!I36=0,"-",'Skema1-7_2009'!I36/'Skema1-7_2008'!I36*100-100)</f>
        <v>-5.5631023118592537</v>
      </c>
      <c r="J36" s="118">
        <f>IF('Skema1-7_2008'!J36=0,"-",'Skema1-7_2009'!J36/'Skema1-7_2008'!J36*100-100)</f>
        <v>5.155318636776002</v>
      </c>
      <c r="L36" s="3"/>
      <c r="M36" s="3"/>
      <c r="N36" s="3"/>
      <c r="O36" s="3"/>
      <c r="P36" s="3"/>
      <c r="Q36" s="3"/>
      <c r="R36" s="3"/>
    </row>
    <row r="37" spans="1:18" ht="13.5" customHeight="1">
      <c r="A37" s="74"/>
      <c r="B37" s="41" t="s">
        <v>30</v>
      </c>
      <c r="C37" s="118">
        <f>IF('Skema1-7_2008'!C37=0,"-",'Skema1-7_2009'!C37/'Skema1-7_2008'!C37*100-100)</f>
        <v>3.9618581257450103</v>
      </c>
      <c r="D37" s="118">
        <f>IF('Skema1-7_2008'!D37=0,"-",'Skema1-7_2009'!D37/'Skema1-7_2008'!D37*100-100)</f>
        <v>14.601531657826897</v>
      </c>
      <c r="E37" s="118">
        <f>IF('Skema1-7_2008'!E37=0,"-",'Skema1-7_2009'!E37/'Skema1-7_2008'!E37*100-100)</f>
        <v>9.7073055089211095</v>
      </c>
      <c r="F37" s="118">
        <f>IF('Skema1-7_2008'!F37=0,"-",'Skema1-7_2009'!F37/'Skema1-7_2008'!F37*100-100)</f>
        <v>-14.200845399750634</v>
      </c>
      <c r="G37" s="118">
        <f>IF('Skema1-7_2008'!G37=0,"-",'Skema1-7_2009'!G37/'Skema1-7_2008'!G37*100-100)</f>
        <v>-32.534487942410308</v>
      </c>
      <c r="H37" s="118">
        <f>IF('Skema1-7_2008'!H37=0,"-",'Skema1-7_2009'!H37/'Skema1-7_2008'!H37*100-100)</f>
        <v>-162.07378200849445</v>
      </c>
      <c r="I37" s="118">
        <f>IF('Skema1-7_2008'!I37=0,"-",'Skema1-7_2009'!I37/'Skema1-7_2008'!I37*100-100)</f>
        <v>-24.084381469508713</v>
      </c>
      <c r="J37" s="118">
        <f>IF('Skema1-7_2008'!J37=0,"-",'Skema1-7_2009'!J37/'Skema1-7_2008'!J37*100-100)</f>
        <v>5.6464887691150238</v>
      </c>
      <c r="K37" s="71"/>
      <c r="L37" s="3"/>
      <c r="M37" s="3"/>
      <c r="N37" s="3"/>
      <c r="O37" s="3"/>
      <c r="P37" s="3"/>
      <c r="Q37" s="3"/>
      <c r="R37" s="3"/>
    </row>
    <row r="38" spans="1:18" ht="13.5" customHeight="1">
      <c r="A38" s="43"/>
      <c r="B38" s="24"/>
      <c r="C38" s="119"/>
      <c r="D38" s="119"/>
      <c r="E38" s="119"/>
      <c r="F38" s="119"/>
      <c r="G38" s="119"/>
      <c r="H38" s="119"/>
      <c r="I38" s="119"/>
      <c r="J38" s="119"/>
      <c r="L38" s="3"/>
      <c r="M38" s="3"/>
      <c r="N38" s="3"/>
      <c r="O38" s="3"/>
      <c r="P38" s="3"/>
      <c r="Q38" s="3"/>
      <c r="R38" s="3"/>
    </row>
    <row r="39" spans="1:18" ht="13.5" customHeight="1">
      <c r="A39" s="43"/>
      <c r="B39" s="45" t="s">
        <v>44</v>
      </c>
      <c r="C39" s="120">
        <f>IF('Skema1-7_2008'!C39=0,"-",'Skema1-7_2009'!C39/'Skema1-7_2008'!C39*100-100)</f>
        <v>4.4491706287480355</v>
      </c>
      <c r="D39" s="120">
        <f>IF('Skema1-7_2008'!D39=0,"-",'Skema1-7_2009'!D39/'Skema1-7_2008'!D39*100-100)</f>
        <v>15.408689601972299</v>
      </c>
      <c r="E39" s="120">
        <f>IF('Skema1-7_2008'!E39=0,"-",'Skema1-7_2009'!E39/'Skema1-7_2008'!E39*100-100)</f>
        <v>0.22597905048569089</v>
      </c>
      <c r="F39" s="120">
        <f>IF('Skema1-7_2008'!F39=0,"-",'Skema1-7_2009'!F39/'Skema1-7_2008'!F39*100-100)</f>
        <v>-100</v>
      </c>
      <c r="G39" s="120">
        <f>IF('Skema1-7_2008'!G39=0,"-",'Skema1-7_2009'!G39/'Skema1-7_2008'!G39*100-100)</f>
        <v>10.996232900892849</v>
      </c>
      <c r="H39" s="120">
        <f>IF('Skema1-7_2008'!H39=0,"-",'Skema1-7_2009'!H39/'Skema1-7_2008'!H39*100-100)</f>
        <v>27.253688647560196</v>
      </c>
      <c r="I39" s="121" t="str">
        <f>IF('Skema1-7_2008'!I39&gt;1,'Skema1-7_2009'!I39/'Skema1-7_2008'!I39*100-100,"-")</f>
        <v>-</v>
      </c>
      <c r="J39" s="122">
        <f>IF('Skema1-7_2008'!J39=0,"-",'Skema1-7_2009'!J39/'Skema1-7_2008'!J39*100-100)</f>
        <v>6.3484166010084948</v>
      </c>
      <c r="L39" s="70"/>
      <c r="M39" s="3"/>
      <c r="N39" s="3"/>
      <c r="O39" s="3"/>
      <c r="P39" s="3"/>
      <c r="Q39" s="3"/>
      <c r="R39" s="3"/>
    </row>
    <row r="40" spans="1:18" ht="13.5" customHeight="1">
      <c r="A40" s="43"/>
      <c r="B40" s="48" t="s">
        <v>45</v>
      </c>
      <c r="C40" s="123">
        <f>IF('Skema1-7_2008'!C40=0,"-",'Skema1-7_2009'!C40/'Skema1-7_2008'!C40*100-100)</f>
        <v>2.3096794706303001</v>
      </c>
      <c r="D40" s="123">
        <f>IF('Skema1-7_2008'!D40=0,"-",'Skema1-7_2009'!D40/'Skema1-7_2008'!D40*100-100)</f>
        <v>5.2704759654618414</v>
      </c>
      <c r="E40" s="123">
        <f>IF('Skema1-7_2008'!E40=0,"-",'Skema1-7_2009'!E40/'Skema1-7_2008'!E40*100-100)</f>
        <v>41.525883718071753</v>
      </c>
      <c r="F40" s="123">
        <f>IF('Skema1-7_2008'!F40=0,"-",'Skema1-7_2009'!F40/'Skema1-7_2008'!F40*100-100)</f>
        <v>270.15475593738694</v>
      </c>
      <c r="G40" s="123">
        <f>IF('Skema1-7_2008'!G40=0,"-",'Skema1-7_2009'!G40/'Skema1-7_2008'!G40*100-100)</f>
        <v>-5.7124499488386959</v>
      </c>
      <c r="H40" s="123">
        <f>IF('Skema1-7_2008'!H40=0,"-",'Skema1-7_2009'!H40/'Skema1-7_2008'!H40*100-100)</f>
        <v>-30.621284809022114</v>
      </c>
      <c r="I40" s="123" t="str">
        <f>IF('Skema1-7_2008'!I40=0,"-",'Skema1-7_2009'!I40/'Skema1-7_2008'!I40*100-100)</f>
        <v>-</v>
      </c>
      <c r="J40" s="124">
        <f>IF('Skema1-7_2008'!J40=0,"-",'Skema1-7_2009'!J40/'Skema1-7_2008'!J40*100-100)</f>
        <v>5.0892520101555334</v>
      </c>
      <c r="L40" s="70"/>
      <c r="M40" s="3"/>
      <c r="N40" s="82"/>
      <c r="O40" s="82"/>
      <c r="P40" s="82"/>
      <c r="Q40" s="3"/>
      <c r="R40" s="3"/>
    </row>
    <row r="41" spans="1:18" ht="13.5" customHeight="1">
      <c r="A41" s="43"/>
      <c r="B41" s="48" t="s">
        <v>46</v>
      </c>
      <c r="C41" s="123">
        <f>IF('Skema1-7_2008'!C41=0,"-",'Skema1-7_2009'!C41/'Skema1-7_2008'!C41*100-100)</f>
        <v>3.1041045533267919</v>
      </c>
      <c r="D41" s="123">
        <f>IF('Skema1-7_2008'!D41=0,"-",'Skema1-7_2009'!D41/'Skema1-7_2008'!D41*100-100)</f>
        <v>13.497304733873079</v>
      </c>
      <c r="E41" s="123">
        <f>IF('Skema1-7_2008'!E41=0,"-",'Skema1-7_2009'!E41/'Skema1-7_2008'!E41*100-100)</f>
        <v>-4.4066431412876028</v>
      </c>
      <c r="F41" s="123">
        <f>IF('Skema1-7_2008'!F41=0,"-",'Skema1-7_2009'!F41/'Skema1-7_2008'!F41*100-100)</f>
        <v>-37.628969423795724</v>
      </c>
      <c r="G41" s="123">
        <f>IF('Skema1-7_2008'!G41=0,"-",'Skema1-7_2009'!G41/'Skema1-7_2008'!G41*100-100)</f>
        <v>-67.534175898237692</v>
      </c>
      <c r="H41" s="123">
        <f>IF('Skema1-7_2008'!H41=0,"-",'Skema1-7_2009'!H41/'Skema1-7_2008'!H41*100-100)</f>
        <v>-1.1483170166109034</v>
      </c>
      <c r="I41" s="123">
        <f>IF('Skema1-7_2008'!I41=0,"-",'Skema1-7_2009'!I41/'Skema1-7_2008'!I41*100-100)</f>
        <v>-80.659906796908373</v>
      </c>
      <c r="J41" s="124">
        <f>IF('Skema1-7_2008'!J41=0,"-",'Skema1-7_2009'!J41/'Skema1-7_2008'!J41*100-100)</f>
        <v>4.4035581445432541</v>
      </c>
      <c r="L41" s="70"/>
      <c r="M41" s="3"/>
      <c r="N41" s="82"/>
      <c r="O41" s="82"/>
      <c r="P41" s="82"/>
      <c r="Q41" s="3"/>
      <c r="R41" s="3"/>
    </row>
    <row r="42" spans="1:18" ht="13.5" customHeight="1">
      <c r="A42" s="43"/>
      <c r="B42" s="48" t="s">
        <v>47</v>
      </c>
      <c r="C42" s="123">
        <f>IF('Skema1-7_2008'!C42=0,"-",'Skema1-7_2009'!C42/'Skema1-7_2008'!C42*100-100)</f>
        <v>4.0542595144887628</v>
      </c>
      <c r="D42" s="123">
        <f>IF('Skema1-7_2008'!D42=0,"-",'Skema1-7_2009'!D42/'Skema1-7_2008'!D42*100-100)</f>
        <v>21.289695857852251</v>
      </c>
      <c r="E42" s="123">
        <f>IF('Skema1-7_2008'!E42=0,"-",'Skema1-7_2009'!E42/'Skema1-7_2008'!E42*100-100)</f>
        <v>17.298460387334799</v>
      </c>
      <c r="F42" s="123">
        <f>IF('Skema1-7_2008'!F42=0,"-",'Skema1-7_2009'!F42/'Skema1-7_2008'!F42*100-100)</f>
        <v>-24.295708031276646</v>
      </c>
      <c r="G42" s="123">
        <f>IF('Skema1-7_2008'!G42=0,"-",'Skema1-7_2009'!G42/'Skema1-7_2008'!G42*100-100)</f>
        <v>-27.298896860186446</v>
      </c>
      <c r="H42" s="123">
        <f>IF('Skema1-7_2008'!H42=0,"-",'Skema1-7_2009'!H42/'Skema1-7_2008'!H42*100-100)</f>
        <v>-12.649219567889133</v>
      </c>
      <c r="I42" s="123">
        <f>IF('Skema1-7_2008'!I42=0,"-",'Skema1-7_2009'!I42/'Skema1-7_2008'!I42*100-100)</f>
        <v>31.337197500926351</v>
      </c>
      <c r="J42" s="124">
        <f>IF('Skema1-7_2008'!J42=0,"-",'Skema1-7_2009'!J42/'Skema1-7_2008'!J42*100-100)</f>
        <v>5.833032986052018</v>
      </c>
      <c r="L42" s="70"/>
      <c r="M42" s="3"/>
      <c r="N42" s="82"/>
      <c r="O42" s="82"/>
      <c r="P42" s="82"/>
      <c r="Q42" s="3"/>
      <c r="R42" s="3"/>
    </row>
    <row r="43" spans="1:18" ht="13.5" customHeight="1">
      <c r="A43" s="51"/>
      <c r="B43" s="52" t="s">
        <v>48</v>
      </c>
      <c r="C43" s="125">
        <f>IF('Skema1-7_2008'!C43=0,"-",'Skema1-7_2009'!C43/'Skema1-7_2008'!C43*100-100)</f>
        <v>6.1559403323702639</v>
      </c>
      <c r="D43" s="125">
        <f>IF('Skema1-7_2008'!D43=0,"-",'Skema1-7_2009'!D43/'Skema1-7_2008'!D43*100-100)</f>
        <v>8.6447535768828772</v>
      </c>
      <c r="E43" s="125">
        <f>IF('Skema1-7_2008'!E43=0,"-",'Skema1-7_2009'!E43/'Skema1-7_2008'!E43*100-100)</f>
        <v>3.9611528771615667</v>
      </c>
      <c r="F43" s="125" t="str">
        <f>IF('Skema1-7_2008'!F43=0,"-",'Skema1-7_2009'!F43/'Skema1-7_2008'!F43*100-100)</f>
        <v>-</v>
      </c>
      <c r="G43" s="125">
        <f>IF('Skema1-7_2008'!G43=0,"-",'Skema1-7_2009'!G43/'Skema1-7_2008'!G43*100-100)</f>
        <v>-11.50620824075493</v>
      </c>
      <c r="H43" s="125">
        <f>IF('Skema1-7_2008'!H43=0,"-",'Skema1-7_2009'!H43/'Skema1-7_2008'!H43*100-100)</f>
        <v>11.308137889792789</v>
      </c>
      <c r="I43" s="125" t="str">
        <f>IF('Skema1-7_2008'!I43=0,"-",'Skema1-7_2009'!I43/'Skema1-7_2008'!I43*100-100)</f>
        <v>-</v>
      </c>
      <c r="J43" s="126">
        <f>IF('Skema1-7_2008'!J43=0,"-",'Skema1-7_2009'!J43/'Skema1-7_2008'!J43*100-100)</f>
        <v>6.0010745908594743</v>
      </c>
      <c r="L43" s="70"/>
      <c r="M43" s="3"/>
      <c r="N43" s="82"/>
      <c r="O43" s="82"/>
      <c r="P43" s="82"/>
      <c r="Q43" s="3"/>
      <c r="R43" s="3"/>
    </row>
    <row r="44" spans="1:18" ht="13.5" customHeight="1">
      <c r="A44" s="51"/>
      <c r="B44" s="41" t="s">
        <v>30</v>
      </c>
      <c r="C44" s="120">
        <f>IF('Skema1-7_2008'!C44=0,"-",'Skema1-7_2009'!C44/'Skema1-7_2008'!C44*100-100)</f>
        <v>3.9618581257449819</v>
      </c>
      <c r="D44" s="127">
        <f>IF('Skema1-7_2008'!D44=0,"-",'Skema1-7_2009'!D44/'Skema1-7_2008'!D44*100-100)</f>
        <v>14.601531657826897</v>
      </c>
      <c r="E44" s="127">
        <f>IF('Skema1-7_2008'!E44=0,"-",'Skema1-7_2009'!E44/'Skema1-7_2008'!E44*100-100)</f>
        <v>9.7073055089210953</v>
      </c>
      <c r="F44" s="127">
        <f>IF('Skema1-7_2008'!F44=0,"-",'Skema1-7_2009'!F44/'Skema1-7_2008'!F44*100-100)</f>
        <v>-14.200845399750634</v>
      </c>
      <c r="G44" s="127">
        <f>IF('Skema1-7_2008'!G44=0,"-",'Skema1-7_2009'!G44/'Skema1-7_2008'!G44*100-100)</f>
        <v>-32.534487942410323</v>
      </c>
      <c r="H44" s="127">
        <f>IF('Skema1-7_2008'!H44=0,"-",'Skema1-7_2009'!H44/'Skema1-7_2008'!H44*100-100)</f>
        <v>-162.07378200849442</v>
      </c>
      <c r="I44" s="127">
        <f>IF('Skema1-7_2008'!I44=0,"-",'Skema1-7_2009'!I44/'Skema1-7_2008'!I44*100-100)</f>
        <v>-24.084381469508727</v>
      </c>
      <c r="J44" s="128">
        <f>IF('Skema1-7_2008'!J44=0,"-",'Skema1-7_2009'!J44/'Skema1-7_2008'!J44*100-100)</f>
        <v>5.6464887691150238</v>
      </c>
      <c r="L44" s="3"/>
      <c r="M44" s="3"/>
      <c r="N44" s="82"/>
      <c r="O44" s="82"/>
      <c r="P44" s="82"/>
      <c r="Q44" s="3"/>
      <c r="R44" s="3"/>
    </row>
    <row r="45" spans="1:18" ht="13.5" customHeight="1">
      <c r="C45" s="84"/>
      <c r="N45" s="3"/>
      <c r="O45" s="3"/>
      <c r="P45" s="3"/>
      <c r="Q45" s="3"/>
      <c r="R45" s="3"/>
    </row>
    <row r="46" spans="1:18" ht="13.5" customHeight="1">
      <c r="D46" s="27"/>
      <c r="E46" s="27"/>
      <c r="N46" s="3"/>
      <c r="O46" s="3"/>
      <c r="P46" s="3"/>
      <c r="Q46" s="3"/>
      <c r="R46" s="3"/>
    </row>
    <row r="47" spans="1:18" ht="13.5" customHeight="1">
      <c r="N47" s="3"/>
      <c r="O47" s="3"/>
      <c r="P47" s="3"/>
      <c r="Q47" s="3"/>
      <c r="R47" s="3"/>
    </row>
    <row r="48" spans="1:18" ht="13.5" customHeight="1">
      <c r="N48" s="3"/>
      <c r="O48" s="3"/>
      <c r="P48" s="3"/>
      <c r="Q48" s="3"/>
      <c r="R48" s="3"/>
    </row>
    <row r="49" spans="14:18" ht="13.5" customHeight="1">
      <c r="N49" s="3"/>
      <c r="O49" s="3"/>
      <c r="P49" s="3"/>
      <c r="Q49" s="3"/>
      <c r="R49" s="3"/>
    </row>
    <row r="50" spans="14:18" ht="13.5" customHeight="1">
      <c r="N50" s="3"/>
      <c r="O50" s="3"/>
      <c r="P50" s="3"/>
      <c r="Q50" s="3"/>
      <c r="R50" s="3"/>
    </row>
    <row r="51" spans="14:18" ht="13.5" customHeight="1">
      <c r="N51" s="3"/>
      <c r="O51" s="3"/>
      <c r="P51" s="3"/>
      <c r="Q51" s="3"/>
      <c r="R51" s="3"/>
    </row>
    <row r="52" spans="14:18" ht="13.5" customHeight="1">
      <c r="N52" s="3"/>
      <c r="O52" s="3"/>
      <c r="P52" s="3"/>
      <c r="Q52" s="3"/>
      <c r="R52" s="3"/>
    </row>
    <row r="53" spans="14:18">
      <c r="N53" s="3"/>
      <c r="O53" s="3"/>
      <c r="P53" s="3"/>
      <c r="Q53" s="3"/>
      <c r="R53" s="3"/>
    </row>
  </sheetData>
  <phoneticPr fontId="12" type="noConversion"/>
  <pageMargins left="0.52" right="0.43" top="0.52" bottom="0.19" header="0.23" footer="0.25"/>
  <pageSetup paperSize="9" scale="84" orientation="landscape" r:id="rId1"/>
  <headerFooter alignWithMargins="0">
    <oddHeader>&amp;CSide &amp;P /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52"/>
  <sheetViews>
    <sheetView zoomScaleNormal="100" zoomScaleSheetLayoutView="100" workbookViewId="0">
      <selection activeCell="B13" sqref="B13"/>
    </sheetView>
  </sheetViews>
  <sheetFormatPr defaultRowHeight="12"/>
  <cols>
    <col min="1" max="1" width="8.5703125" style="51" customWidth="1"/>
    <col min="2" max="2" width="39.28515625" style="6" customWidth="1"/>
    <col min="3" max="3" width="20.140625" style="7" customWidth="1"/>
    <col min="4" max="7" width="14.28515625" style="6" customWidth="1"/>
    <col min="8" max="16384" width="9.140625" style="6"/>
  </cols>
  <sheetData>
    <row r="1" spans="1:11" ht="15.75">
      <c r="A1" s="8" t="str">
        <f>'Skema1-7_2008'!A1</f>
        <v>Bilag E til Løbende Offentliggørelse af Produktivitet i Sygehussektoren, 2008-2009. December 2010</v>
      </c>
    </row>
    <row r="2" spans="1:11" ht="13.5" customHeight="1">
      <c r="A2" s="57" t="s">
        <v>69</v>
      </c>
      <c r="B2" s="3"/>
      <c r="C2" s="4"/>
    </row>
    <row r="3" spans="1:11" ht="13.5" customHeight="1">
      <c r="A3" s="25" t="s">
        <v>61</v>
      </c>
      <c r="B3" s="3"/>
      <c r="C3" s="4"/>
    </row>
    <row r="4" spans="1:11" ht="54" customHeight="1">
      <c r="A4" s="72" t="s">
        <v>22</v>
      </c>
      <c r="B4" s="72" t="s">
        <v>0</v>
      </c>
      <c r="C4" s="12" t="s">
        <v>31</v>
      </c>
      <c r="D4" s="12" t="s">
        <v>32</v>
      </c>
      <c r="E4" s="12" t="s">
        <v>39</v>
      </c>
      <c r="F4" s="12" t="s">
        <v>37</v>
      </c>
      <c r="G4" s="12" t="s">
        <v>38</v>
      </c>
    </row>
    <row r="5" spans="1:11" ht="13.5" customHeight="1">
      <c r="A5" s="36">
        <v>1301</v>
      </c>
      <c r="B5" s="36" t="s">
        <v>1</v>
      </c>
      <c r="C5" s="13">
        <f>'Skema1-7_2008'!J5</f>
        <v>5758845.9817599244</v>
      </c>
      <c r="D5" s="14">
        <v>133856.32800000001</v>
      </c>
      <c r="E5" s="13">
        <f>C5-D5</f>
        <v>5624989.6537599247</v>
      </c>
      <c r="F5" s="13">
        <v>780297.25269423251</v>
      </c>
      <c r="G5" s="58">
        <f>E5-F5</f>
        <v>4844692.4010656923</v>
      </c>
      <c r="K5" s="71"/>
    </row>
    <row r="6" spans="1:11" ht="13.5" customHeight="1">
      <c r="A6" s="36">
        <v>1309</v>
      </c>
      <c r="B6" s="36" t="s">
        <v>2</v>
      </c>
      <c r="C6" s="13">
        <f>'Skema1-7_2008'!J6</f>
        <v>1444858.472674028</v>
      </c>
      <c r="D6" s="14">
        <v>31243.8</v>
      </c>
      <c r="E6" s="13">
        <f t="shared" ref="E6:E36" si="0">C6-D6</f>
        <v>1413614.672674028</v>
      </c>
      <c r="F6" s="13">
        <v>41910.747967979602</v>
      </c>
      <c r="G6" s="58">
        <f t="shared" ref="G6:G14" si="1">E6-F6</f>
        <v>1371703.9247060483</v>
      </c>
      <c r="K6" s="71"/>
    </row>
    <row r="7" spans="1:11" ht="13.5" customHeight="1">
      <c r="A7" s="36">
        <v>1330</v>
      </c>
      <c r="B7" s="36" t="s">
        <v>3</v>
      </c>
      <c r="C7" s="13">
        <f>'Skema1-7_2008'!J7</f>
        <v>1848359.8410800523</v>
      </c>
      <c r="D7" s="14">
        <v>42008.898000000001</v>
      </c>
      <c r="E7" s="13">
        <f t="shared" si="0"/>
        <v>1806350.9430800523</v>
      </c>
      <c r="F7" s="13">
        <v>142627.81665716739</v>
      </c>
      <c r="G7" s="58">
        <f t="shared" si="1"/>
        <v>1663723.1264228849</v>
      </c>
      <c r="K7" s="71"/>
    </row>
    <row r="8" spans="1:11" ht="13.5" customHeight="1">
      <c r="A8" s="36">
        <v>1351</v>
      </c>
      <c r="B8" s="36" t="s">
        <v>4</v>
      </c>
      <c r="C8" s="13">
        <f>'Skema1-7_2008'!J8</f>
        <v>533209.04100290418</v>
      </c>
      <c r="D8" s="14">
        <v>467.1</v>
      </c>
      <c r="E8" s="13">
        <f t="shared" si="0"/>
        <v>532741.9410029042</v>
      </c>
      <c r="F8" s="13">
        <v>4524.8086954110531</v>
      </c>
      <c r="G8" s="58">
        <f t="shared" si="1"/>
        <v>528217.13230749313</v>
      </c>
      <c r="K8" s="71"/>
    </row>
    <row r="9" spans="1:11" ht="13.5" customHeight="1">
      <c r="A9" s="36">
        <v>1401</v>
      </c>
      <c r="B9" s="36" t="s">
        <v>5</v>
      </c>
      <c r="C9" s="13">
        <f>'Skema1-7_2008'!J9</f>
        <v>695179.50053187157</v>
      </c>
      <c r="D9" s="14">
        <v>1747.992</v>
      </c>
      <c r="E9" s="13">
        <f t="shared" si="0"/>
        <v>693431.5085318716</v>
      </c>
      <c r="F9" s="13">
        <v>36332.287389692399</v>
      </c>
      <c r="G9" s="58">
        <f t="shared" si="1"/>
        <v>657099.22114217922</v>
      </c>
      <c r="K9" s="71"/>
    </row>
    <row r="10" spans="1:11" ht="13.5" customHeight="1">
      <c r="A10" s="36">
        <v>1501</v>
      </c>
      <c r="B10" s="36" t="s">
        <v>6</v>
      </c>
      <c r="C10" s="13">
        <f>'Skema1-7_2008'!J10</f>
        <v>1273080.7568006653</v>
      </c>
      <c r="D10" s="14">
        <v>17968.817999999999</v>
      </c>
      <c r="E10" s="13">
        <f t="shared" si="0"/>
        <v>1255111.9388006653</v>
      </c>
      <c r="F10" s="13">
        <v>28022.310431430767</v>
      </c>
      <c r="G10" s="58">
        <f t="shared" si="1"/>
        <v>1227089.6283692345</v>
      </c>
      <c r="K10" s="71"/>
    </row>
    <row r="11" spans="1:11" ht="13.5" customHeight="1">
      <c r="A11" s="36">
        <v>1502</v>
      </c>
      <c r="B11" s="36" t="s">
        <v>7</v>
      </c>
      <c r="C11" s="13">
        <f>'Skema1-7_2008'!J11</f>
        <v>1605471.7281478592</v>
      </c>
      <c r="D11" s="14">
        <v>32026.452000000001</v>
      </c>
      <c r="E11" s="13">
        <f t="shared" si="0"/>
        <v>1573445.2761478592</v>
      </c>
      <c r="F11" s="13">
        <v>97305.206344942097</v>
      </c>
      <c r="G11" s="58">
        <f t="shared" si="1"/>
        <v>1476140.0698029171</v>
      </c>
      <c r="K11" s="71"/>
    </row>
    <row r="12" spans="1:11" ht="13.5" customHeight="1">
      <c r="A12" s="36">
        <v>1516</v>
      </c>
      <c r="B12" s="36" t="s">
        <v>8</v>
      </c>
      <c r="C12" s="13">
        <f>'Skema1-7_2008'!J12</f>
        <v>2661492.1446915865</v>
      </c>
      <c r="D12" s="14">
        <v>67683.828000000009</v>
      </c>
      <c r="E12" s="13">
        <f t="shared" si="0"/>
        <v>2593808.3166915863</v>
      </c>
      <c r="F12" s="13">
        <v>294967.81781826739</v>
      </c>
      <c r="G12" s="58">
        <f t="shared" si="1"/>
        <v>2298840.498873319</v>
      </c>
      <c r="K12" s="71"/>
    </row>
    <row r="13" spans="1:11" ht="13.5" customHeight="1">
      <c r="A13" s="36">
        <v>2000</v>
      </c>
      <c r="B13" s="36" t="s">
        <v>9</v>
      </c>
      <c r="C13" s="13">
        <f>'Skema1-7_2008'!J13</f>
        <v>2463453.6082251975</v>
      </c>
      <c r="D13" s="14">
        <v>20092.565999999999</v>
      </c>
      <c r="E13" s="13">
        <f t="shared" si="0"/>
        <v>2443361.0422251974</v>
      </c>
      <c r="F13" s="13">
        <v>103494.32725694378</v>
      </c>
      <c r="G13" s="58">
        <f t="shared" si="1"/>
        <v>2339866.7149682539</v>
      </c>
      <c r="K13" s="71"/>
    </row>
    <row r="14" spans="1:11" ht="13.5" customHeight="1">
      <c r="A14" s="36">
        <v>4001</v>
      </c>
      <c r="B14" s="36" t="s">
        <v>11</v>
      </c>
      <c r="C14" s="13">
        <f>'Skema1-7_2008'!J14</f>
        <v>364030.56223442632</v>
      </c>
      <c r="D14" s="14">
        <v>0</v>
      </c>
      <c r="E14" s="13">
        <f t="shared" si="0"/>
        <v>364030.56223442632</v>
      </c>
      <c r="F14" s="13">
        <v>17116.834844239929</v>
      </c>
      <c r="G14" s="58">
        <f t="shared" si="1"/>
        <v>346913.7273901864</v>
      </c>
      <c r="K14" s="71"/>
    </row>
    <row r="15" spans="1:11" ht="13.5" customHeight="1">
      <c r="A15" s="36">
        <v>2500</v>
      </c>
      <c r="B15" s="36" t="s">
        <v>10</v>
      </c>
      <c r="C15" s="13">
        <f>'Skema1-7_2008'!J15</f>
        <v>3180737.1719999998</v>
      </c>
      <c r="D15" s="14">
        <v>9342</v>
      </c>
      <c r="E15" s="13">
        <f t="shared" si="0"/>
        <v>3171395.1719999998</v>
      </c>
      <c r="F15" s="13">
        <v>146219.88982616412</v>
      </c>
      <c r="G15" s="58">
        <f t="shared" ref="G15:G43" si="2">E15-F15</f>
        <v>3025175.2821738357</v>
      </c>
      <c r="K15" s="71"/>
    </row>
    <row r="16" spans="1:11" ht="13.5" customHeight="1">
      <c r="A16" s="36">
        <v>2501</v>
      </c>
      <c r="B16" s="36" t="s">
        <v>56</v>
      </c>
      <c r="C16" s="13">
        <f>'Skema1-7_2008'!J16</f>
        <v>3161162.5680000004</v>
      </c>
      <c r="D16" s="14">
        <v>8096.4000000000005</v>
      </c>
      <c r="E16" s="13">
        <f t="shared" si="0"/>
        <v>3153066.1680000005</v>
      </c>
      <c r="F16" s="13">
        <v>170977.16519338466</v>
      </c>
      <c r="G16" s="58">
        <f t="shared" si="2"/>
        <v>2982089.002806616</v>
      </c>
      <c r="K16" s="71"/>
    </row>
    <row r="17" spans="1:11" ht="13.5" customHeight="1">
      <c r="A17" s="36">
        <v>4202</v>
      </c>
      <c r="B17" s="36" t="s">
        <v>12</v>
      </c>
      <c r="C17" s="13">
        <f>'Skema1-7_2008'!J17</f>
        <v>4040590.4220000003</v>
      </c>
      <c r="D17" s="14">
        <v>46301.027999999998</v>
      </c>
      <c r="E17" s="13">
        <f t="shared" si="0"/>
        <v>3994289.3940000003</v>
      </c>
      <c r="F17" s="13">
        <v>330667.39059623994</v>
      </c>
      <c r="G17" s="58">
        <f t="shared" si="2"/>
        <v>3663622.0034037605</v>
      </c>
      <c r="K17" s="71"/>
    </row>
    <row r="18" spans="1:11" ht="13.5" customHeight="1">
      <c r="A18" s="36">
        <v>4212</v>
      </c>
      <c r="B18" s="36" t="s">
        <v>50</v>
      </c>
      <c r="C18" s="13">
        <f>'Skema1-7_2008'!J18</f>
        <v>1115314.3920000002</v>
      </c>
      <c r="D18" s="14">
        <v>2810.904</v>
      </c>
      <c r="E18" s="13">
        <f t="shared" si="0"/>
        <v>1112503.4880000001</v>
      </c>
      <c r="F18" s="13">
        <v>17160.636710450955</v>
      </c>
      <c r="G18" s="58">
        <f t="shared" si="2"/>
        <v>1095342.8512895491</v>
      </c>
      <c r="K18" s="71"/>
    </row>
    <row r="19" spans="1:11" ht="13.5" customHeight="1">
      <c r="A19" s="36">
        <v>5000</v>
      </c>
      <c r="B19" s="36" t="s">
        <v>57</v>
      </c>
      <c r="C19" s="13">
        <f>'Skema1-7_2008'!J19</f>
        <v>1746041.5979999998</v>
      </c>
      <c r="D19" s="14">
        <v>2902.248</v>
      </c>
      <c r="E19" s="13">
        <f t="shared" si="0"/>
        <v>1743139.3499999999</v>
      </c>
      <c r="F19" s="13">
        <v>80026.381220114854</v>
      </c>
      <c r="G19" s="58">
        <f t="shared" si="2"/>
        <v>1663112.968779885</v>
      </c>
      <c r="K19" s="71"/>
    </row>
    <row r="20" spans="1:11" ht="13.5" customHeight="1">
      <c r="A20" s="36">
        <v>5501</v>
      </c>
      <c r="B20" s="36" t="s">
        <v>13</v>
      </c>
      <c r="C20" s="13">
        <f>'Skema1-7_2008'!J20</f>
        <v>1559597.0759999999</v>
      </c>
      <c r="D20" s="14">
        <v>2902.248</v>
      </c>
      <c r="E20" s="13">
        <f t="shared" si="0"/>
        <v>1556694.828</v>
      </c>
      <c r="F20" s="13">
        <v>103027.52208751321</v>
      </c>
      <c r="G20" s="58">
        <f t="shared" si="2"/>
        <v>1453667.3059124867</v>
      </c>
      <c r="K20" s="71"/>
    </row>
    <row r="21" spans="1:11" ht="13.5" customHeight="1">
      <c r="A21" s="36">
        <v>6007</v>
      </c>
      <c r="B21" s="36" t="s">
        <v>14</v>
      </c>
      <c r="C21" s="13">
        <f>'Skema1-7_2008'!J21</f>
        <v>1171240.794</v>
      </c>
      <c r="D21" s="14">
        <v>3678.672</v>
      </c>
      <c r="E21" s="13">
        <f t="shared" si="0"/>
        <v>1167562.122</v>
      </c>
      <c r="F21" s="13">
        <v>52277.04951687689</v>
      </c>
      <c r="G21" s="58">
        <f t="shared" si="2"/>
        <v>1115285.072483123</v>
      </c>
      <c r="K21" s="71"/>
    </row>
    <row r="22" spans="1:11" ht="13.5" customHeight="1">
      <c r="A22" s="36">
        <v>6008</v>
      </c>
      <c r="B22" s="36" t="s">
        <v>85</v>
      </c>
      <c r="C22" s="13">
        <f>'Skema1-7_2008'!J22</f>
        <v>1163514.96</v>
      </c>
      <c r="D22" s="14">
        <v>14375.262000000001</v>
      </c>
      <c r="E22" s="13">
        <f t="shared" si="0"/>
        <v>1149139.6979999999</v>
      </c>
      <c r="F22" s="13">
        <v>168637.68613079991</v>
      </c>
      <c r="G22" s="58">
        <f t="shared" si="2"/>
        <v>980502.01186919992</v>
      </c>
      <c r="K22" s="71"/>
    </row>
    <row r="23" spans="1:11" ht="13.5" customHeight="1">
      <c r="A23" s="36">
        <v>6013</v>
      </c>
      <c r="B23" s="36" t="s">
        <v>73</v>
      </c>
      <c r="C23" s="13">
        <f>'Skema1-7_2008'!J23</f>
        <v>30091.966</v>
      </c>
      <c r="D23" s="14">
        <v>0</v>
      </c>
      <c r="E23" s="13">
        <f t="shared" si="0"/>
        <v>30091.966</v>
      </c>
      <c r="F23" s="13">
        <v>827.17132030447419</v>
      </c>
      <c r="G23" s="58">
        <f t="shared" si="2"/>
        <v>29264.794679695526</v>
      </c>
      <c r="K23" s="71"/>
    </row>
    <row r="24" spans="1:11" ht="13.5" customHeight="1">
      <c r="A24" s="36">
        <v>6014</v>
      </c>
      <c r="B24" s="36" t="s">
        <v>74</v>
      </c>
      <c r="C24" s="13">
        <f>'Skema1-7_2008'!J24</f>
        <v>59971.531999999999</v>
      </c>
      <c r="D24" s="14">
        <v>0</v>
      </c>
      <c r="E24" s="13">
        <f t="shared" si="0"/>
        <v>59971.531999999999</v>
      </c>
      <c r="F24" s="13">
        <v>0</v>
      </c>
      <c r="G24" s="58">
        <f t="shared" si="2"/>
        <v>59971.531999999999</v>
      </c>
      <c r="K24" s="71"/>
    </row>
    <row r="25" spans="1:11" ht="13.5" customHeight="1">
      <c r="A25" s="36">
        <v>6006</v>
      </c>
      <c r="B25" s="36" t="s">
        <v>51</v>
      </c>
      <c r="C25" s="13">
        <f>'Skema1-7_2008'!J25</f>
        <v>804219.37400000007</v>
      </c>
      <c r="D25" s="14">
        <v>2047.9740000000002</v>
      </c>
      <c r="E25" s="13">
        <f t="shared" si="0"/>
        <v>802171.4</v>
      </c>
      <c r="F25" s="13">
        <v>15561.076636460211</v>
      </c>
      <c r="G25" s="58">
        <f t="shared" si="2"/>
        <v>786610.32336353976</v>
      </c>
      <c r="K25" s="71"/>
    </row>
    <row r="26" spans="1:11" ht="13.5" customHeight="1">
      <c r="A26" s="36">
        <v>6500</v>
      </c>
      <c r="B26" s="36" t="s">
        <v>15</v>
      </c>
      <c r="C26" s="13">
        <f>'Skema1-7_2008'!J26</f>
        <v>1901562.5920000002</v>
      </c>
      <c r="D26" s="14">
        <v>7841.0520000000006</v>
      </c>
      <c r="E26" s="13">
        <f t="shared" si="0"/>
        <v>1893721.5400000003</v>
      </c>
      <c r="F26" s="13">
        <v>133852.06180355017</v>
      </c>
      <c r="G26" s="58">
        <f t="shared" si="2"/>
        <v>1759869.47819645</v>
      </c>
      <c r="K26" s="71"/>
    </row>
    <row r="27" spans="1:11" ht="13.5" customHeight="1">
      <c r="A27" s="36">
        <v>7002</v>
      </c>
      <c r="B27" s="36" t="s">
        <v>16</v>
      </c>
      <c r="C27" s="13">
        <f>'Skema1-7_2008'!J27</f>
        <v>629257.326</v>
      </c>
      <c r="D27" s="14">
        <v>778.5</v>
      </c>
      <c r="E27" s="13">
        <f t="shared" si="0"/>
        <v>628478.826</v>
      </c>
      <c r="F27" s="13">
        <v>15408.758330371174</v>
      </c>
      <c r="G27" s="58">
        <f t="shared" si="2"/>
        <v>613070.06766962877</v>
      </c>
      <c r="K27" s="71"/>
    </row>
    <row r="28" spans="1:11" ht="13.5" customHeight="1">
      <c r="A28" s="36">
        <v>7003</v>
      </c>
      <c r="B28" s="36" t="s">
        <v>17</v>
      </c>
      <c r="C28" s="13">
        <f>'Skema1-7_2008'!J28</f>
        <v>3409717.9160000002</v>
      </c>
      <c r="D28" s="14">
        <v>106813.314</v>
      </c>
      <c r="E28" s="13">
        <f t="shared" si="0"/>
        <v>3302904.6020000004</v>
      </c>
      <c r="F28" s="13">
        <v>380518.01522929769</v>
      </c>
      <c r="G28" s="58">
        <f t="shared" si="2"/>
        <v>2922386.5867707026</v>
      </c>
      <c r="K28" s="71"/>
    </row>
    <row r="29" spans="1:11" ht="13.5" customHeight="1">
      <c r="A29" s="36">
        <v>7005</v>
      </c>
      <c r="B29" s="36" t="s">
        <v>18</v>
      </c>
      <c r="C29" s="13">
        <f>'Skema1-7_2008'!J29</f>
        <v>1015344.338</v>
      </c>
      <c r="D29" s="14">
        <v>2076</v>
      </c>
      <c r="E29" s="13">
        <f t="shared" si="0"/>
        <v>1013268.338</v>
      </c>
      <c r="F29" s="13">
        <v>25747.974015687712</v>
      </c>
      <c r="G29" s="58">
        <f t="shared" si="2"/>
        <v>987520.36398431228</v>
      </c>
      <c r="K29" s="71"/>
    </row>
    <row r="30" spans="1:11" ht="13.5" customHeight="1">
      <c r="A30" s="36">
        <v>7026</v>
      </c>
      <c r="B30" s="36" t="s">
        <v>52</v>
      </c>
      <c r="C30" s="13">
        <f>'Skema1-7_2008'!J30</f>
        <v>1947306.0040000002</v>
      </c>
      <c r="D30" s="14">
        <v>48763.164000000004</v>
      </c>
      <c r="E30" s="13">
        <f t="shared" si="0"/>
        <v>1898542.84</v>
      </c>
      <c r="F30" s="13">
        <v>240315.44711531061</v>
      </c>
      <c r="G30" s="58">
        <f t="shared" si="2"/>
        <v>1658227.3928846894</v>
      </c>
      <c r="K30" s="71"/>
    </row>
    <row r="31" spans="1:11" ht="13.5" customHeight="1">
      <c r="A31" s="36">
        <v>7601</v>
      </c>
      <c r="B31" s="36" t="s">
        <v>53</v>
      </c>
      <c r="C31" s="13">
        <f>'Skema1-7_2008'!J31</f>
        <v>1495854.7719999999</v>
      </c>
      <c r="D31" s="14">
        <v>1960.7820000000002</v>
      </c>
      <c r="E31" s="13">
        <f t="shared" si="0"/>
        <v>1493893.99</v>
      </c>
      <c r="F31" s="13">
        <v>89240.538150233988</v>
      </c>
      <c r="G31" s="58">
        <f t="shared" si="2"/>
        <v>1404653.4518497661</v>
      </c>
      <c r="K31" s="71"/>
    </row>
    <row r="32" spans="1:11" ht="13.5" customHeight="1">
      <c r="A32" s="36">
        <v>7603</v>
      </c>
      <c r="B32" s="36" t="s">
        <v>19</v>
      </c>
      <c r="C32" s="13">
        <f>'Skema1-7_2008'!J32</f>
        <v>427989.19800000003</v>
      </c>
      <c r="D32" s="14">
        <v>0</v>
      </c>
      <c r="E32" s="13">
        <f t="shared" si="0"/>
        <v>427989.19800000003</v>
      </c>
      <c r="F32" s="13">
        <v>3762.7469715264169</v>
      </c>
      <c r="G32" s="58">
        <f t="shared" si="2"/>
        <v>424226.45102847362</v>
      </c>
      <c r="K32" s="71"/>
    </row>
    <row r="33" spans="1:11" ht="13.5" customHeight="1">
      <c r="A33" s="36">
        <v>8001</v>
      </c>
      <c r="B33" s="36" t="s">
        <v>54</v>
      </c>
      <c r="C33" s="13">
        <f>'Skema1-7_2008'!J33</f>
        <v>3035997.1259999997</v>
      </c>
      <c r="D33" s="14">
        <v>57794.802000000003</v>
      </c>
      <c r="E33" s="13">
        <f t="shared" si="0"/>
        <v>2978202.3239999996</v>
      </c>
      <c r="F33" s="13">
        <v>234237.22294307966</v>
      </c>
      <c r="G33" s="58">
        <f t="shared" si="2"/>
        <v>2743965.1010569199</v>
      </c>
      <c r="K33" s="71"/>
    </row>
    <row r="34" spans="1:11" ht="13.5" customHeight="1">
      <c r="A34" s="36">
        <v>8003</v>
      </c>
      <c r="B34" s="36" t="s">
        <v>20</v>
      </c>
      <c r="C34" s="13">
        <f>'Skema1-7_2008'!J34</f>
        <v>841600.02</v>
      </c>
      <c r="D34" s="14">
        <v>0</v>
      </c>
      <c r="E34" s="13">
        <f t="shared" si="0"/>
        <v>841600.02</v>
      </c>
      <c r="F34" s="13">
        <v>31298.967145457947</v>
      </c>
      <c r="G34" s="58">
        <f t="shared" si="2"/>
        <v>810301.05285454204</v>
      </c>
      <c r="K34" s="71"/>
    </row>
    <row r="35" spans="1:11" ht="13.5" customHeight="1">
      <c r="A35" s="36">
        <v>8005</v>
      </c>
      <c r="B35" s="36" t="s">
        <v>21</v>
      </c>
      <c r="C35" s="13">
        <f>'Skema1-7_2008'!J35</f>
        <v>229864.06199999998</v>
      </c>
      <c r="D35" s="14">
        <v>0</v>
      </c>
      <c r="E35" s="13">
        <f t="shared" si="0"/>
        <v>229864.06199999998</v>
      </c>
      <c r="F35" s="13">
        <v>790.29571657428028</v>
      </c>
      <c r="G35" s="58">
        <f t="shared" si="2"/>
        <v>229073.76628342571</v>
      </c>
      <c r="H35" s="3"/>
      <c r="K35" s="71"/>
    </row>
    <row r="36" spans="1:11" ht="13.5" customHeight="1">
      <c r="A36" s="39">
        <v>8040</v>
      </c>
      <c r="B36" s="36" t="s">
        <v>55</v>
      </c>
      <c r="C36" s="13">
        <f>'Skema1-7_2008'!J36</f>
        <v>540230.21400000004</v>
      </c>
      <c r="D36" s="14">
        <v>3265.5480000000002</v>
      </c>
      <c r="E36" s="13">
        <f t="shared" si="0"/>
        <v>536964.66600000008</v>
      </c>
      <c r="F36" s="13">
        <v>391.789984</v>
      </c>
      <c r="G36" s="58">
        <f t="shared" si="2"/>
        <v>536572.87601600005</v>
      </c>
      <c r="H36" s="3"/>
      <c r="K36" s="71"/>
    </row>
    <row r="37" spans="1:11" ht="13.5" customHeight="1">
      <c r="A37" s="74"/>
      <c r="B37" s="41" t="s">
        <v>30</v>
      </c>
      <c r="C37" s="64">
        <f>SUM(C5:C36)</f>
        <v>52155187.05914852</v>
      </c>
      <c r="D37" s="64">
        <f>SUM(D5:D36)</f>
        <v>668845.68000000005</v>
      </c>
      <c r="E37" s="64">
        <f>SUM(E5:E36)</f>
        <v>51486341.379148521</v>
      </c>
      <c r="F37" s="64">
        <f>SUM(F5:F36)</f>
        <v>3787545.1967437053</v>
      </c>
      <c r="G37" s="65">
        <f t="shared" si="2"/>
        <v>47698796.182404816</v>
      </c>
      <c r="H37" s="3"/>
    </row>
    <row r="38" spans="1:11" ht="13.5" customHeight="1">
      <c r="H38" s="3"/>
    </row>
    <row r="39" spans="1:11" ht="13.5" customHeight="1">
      <c r="B39" s="26" t="s">
        <v>44</v>
      </c>
      <c r="C39" s="59">
        <f>SUM(C5:C14)</f>
        <v>18647981.637148514</v>
      </c>
      <c r="D39" s="59">
        <f>SUM(D5:D14)</f>
        <v>347095.78200000001</v>
      </c>
      <c r="E39" s="59">
        <f>SUM(E5:E14)</f>
        <v>18300885.855148517</v>
      </c>
      <c r="F39" s="59">
        <f>SUM(F5:F14)</f>
        <v>1546599.4101003071</v>
      </c>
      <c r="G39" s="67">
        <f t="shared" si="2"/>
        <v>16754286.445048209</v>
      </c>
      <c r="H39" s="3"/>
    </row>
    <row r="40" spans="1:11" ht="13.5" customHeight="1">
      <c r="B40" s="19" t="s">
        <v>45</v>
      </c>
      <c r="C40" s="60">
        <f>SUM(C15:C16)</f>
        <v>6341899.7400000002</v>
      </c>
      <c r="D40" s="60">
        <f>SUM(D15:D16)</f>
        <v>17438.400000000001</v>
      </c>
      <c r="E40" s="60">
        <f>SUM(E15:E16)</f>
        <v>6324461.3399999999</v>
      </c>
      <c r="F40" s="60">
        <f>SUM(F15:F16)</f>
        <v>317197.05501954874</v>
      </c>
      <c r="G40" s="68">
        <f t="shared" si="2"/>
        <v>6007264.2849804508</v>
      </c>
      <c r="H40" s="3"/>
    </row>
    <row r="41" spans="1:11" ht="13.5" customHeight="1">
      <c r="B41" s="19" t="s">
        <v>46</v>
      </c>
      <c r="C41" s="60">
        <f>SUM(C17:C23)</f>
        <v>10826391.207999999</v>
      </c>
      <c r="D41" s="60">
        <f>SUM(D17:D23)</f>
        <v>72970.361999999994</v>
      </c>
      <c r="E41" s="60">
        <f>SUM(E17:E23)</f>
        <v>10753420.845999999</v>
      </c>
      <c r="F41" s="60">
        <f>SUM(F17:F23)</f>
        <v>752623.83758230042</v>
      </c>
      <c r="G41" s="68">
        <f t="shared" si="2"/>
        <v>10000797.008417699</v>
      </c>
      <c r="H41" s="3"/>
    </row>
    <row r="42" spans="1:11" ht="13.5" customHeight="1">
      <c r="B42" s="19" t="s">
        <v>47</v>
      </c>
      <c r="C42" s="60">
        <f>SUM(C24:C31)</f>
        <v>11263233.854</v>
      </c>
      <c r="D42" s="60">
        <f>SUM(D24:D31)</f>
        <v>170280.78600000002</v>
      </c>
      <c r="E42" s="60">
        <f>SUM(E24:E31)</f>
        <v>11092953.068</v>
      </c>
      <c r="F42" s="60">
        <f>SUM(F24:F31)</f>
        <v>900643.87128091149</v>
      </c>
      <c r="G42" s="68">
        <f t="shared" si="2"/>
        <v>10192309.196719088</v>
      </c>
      <c r="H42" s="3"/>
    </row>
    <row r="43" spans="1:11" ht="13.5" customHeight="1">
      <c r="B43" s="20" t="s">
        <v>48</v>
      </c>
      <c r="C43" s="61">
        <f>SUM(C32:C36)</f>
        <v>5075680.6199999992</v>
      </c>
      <c r="D43" s="61">
        <f>SUM(D32:D36)</f>
        <v>61060.350000000006</v>
      </c>
      <c r="E43" s="61">
        <f>SUM(E32:E36)</f>
        <v>5014620.2699999996</v>
      </c>
      <c r="F43" s="61">
        <f>SUM(F32:F36)</f>
        <v>270481.02276063827</v>
      </c>
      <c r="G43" s="69">
        <f t="shared" si="2"/>
        <v>4744139.2472393615</v>
      </c>
      <c r="H43" s="3"/>
    </row>
    <row r="44" spans="1:11" ht="13.5" customHeight="1">
      <c r="B44" s="16" t="s">
        <v>30</v>
      </c>
      <c r="C44" s="62">
        <f>SUM(C39:C43)</f>
        <v>52155187.059148513</v>
      </c>
      <c r="D44" s="62">
        <f>SUM(D39:D43)</f>
        <v>668845.68000000005</v>
      </c>
      <c r="E44" s="62">
        <f>SUM(E39:E43)</f>
        <v>51486341.379148513</v>
      </c>
      <c r="F44" s="62">
        <f>SUM(F39:F43)</f>
        <v>3787545.1967437062</v>
      </c>
      <c r="G44" s="63">
        <f>SUM(G39:G43)</f>
        <v>47698796.182404809</v>
      </c>
      <c r="H44" s="3"/>
    </row>
    <row r="45" spans="1:11" ht="13.5" customHeight="1">
      <c r="H45" s="3"/>
    </row>
    <row r="46" spans="1:11" ht="13.5" customHeight="1">
      <c r="H46" s="3"/>
    </row>
    <row r="47" spans="1:11" ht="13.5" customHeight="1">
      <c r="H47" s="3"/>
    </row>
    <row r="48" spans="1:11" ht="13.5" customHeight="1"/>
    <row r="49" ht="13.5" customHeight="1"/>
    <row r="50" ht="13.5" customHeight="1"/>
    <row r="51" ht="13.5" customHeight="1"/>
    <row r="52" ht="13.5" customHeight="1"/>
  </sheetData>
  <phoneticPr fontId="4" type="noConversion"/>
  <pageMargins left="0.52" right="0.43" top="0.52" bottom="0.19" header="0.23" footer="0.25"/>
  <pageSetup paperSize="9" scale="86" orientation="landscape" r:id="rId1"/>
  <headerFooter alignWithMargins="0">
    <oddHeader>&amp;CSide &amp;P /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52"/>
  <sheetViews>
    <sheetView zoomScaleNormal="100" zoomScaleSheetLayoutView="100" workbookViewId="0">
      <selection activeCell="D46" sqref="D46"/>
    </sheetView>
  </sheetViews>
  <sheetFormatPr defaultRowHeight="12"/>
  <cols>
    <col min="1" max="1" width="8.5703125" style="51" customWidth="1"/>
    <col min="2" max="2" width="39.28515625" style="6" customWidth="1"/>
    <col min="3" max="3" width="20.140625" style="7" customWidth="1"/>
    <col min="4" max="7" width="14.28515625" style="6" customWidth="1"/>
    <col min="8" max="16384" width="9.140625" style="6"/>
  </cols>
  <sheetData>
    <row r="1" spans="1:9" ht="15.75">
      <c r="A1" s="8" t="str">
        <f>'Skema1-7_2008'!A1</f>
        <v>Bilag E til Løbende Offentliggørelse af Produktivitet i Sygehussektoren, 2008-2009. December 2010</v>
      </c>
    </row>
    <row r="2" spans="1:9" ht="13.5" customHeight="1">
      <c r="A2" s="57" t="s">
        <v>75</v>
      </c>
      <c r="B2" s="3"/>
      <c r="C2" s="4"/>
      <c r="D2" s="51"/>
    </row>
    <row r="3" spans="1:9" ht="13.5" customHeight="1">
      <c r="A3" s="25" t="s">
        <v>62</v>
      </c>
      <c r="B3" s="3"/>
      <c r="C3" s="4"/>
    </row>
    <row r="4" spans="1:9" ht="54" customHeight="1">
      <c r="A4" s="72" t="s">
        <v>22</v>
      </c>
      <c r="B4" s="72" t="s">
        <v>0</v>
      </c>
      <c r="C4" s="12" t="s">
        <v>31</v>
      </c>
      <c r="D4" s="12" t="s">
        <v>32</v>
      </c>
      <c r="E4" s="12" t="s">
        <v>39</v>
      </c>
      <c r="F4" s="12" t="s">
        <v>37</v>
      </c>
      <c r="G4" s="12" t="s">
        <v>38</v>
      </c>
    </row>
    <row r="5" spans="1:9" ht="13.5" customHeight="1">
      <c r="A5" s="36">
        <v>1301</v>
      </c>
      <c r="B5" s="36" t="s">
        <v>1</v>
      </c>
      <c r="C5" s="13">
        <f>'Skema1-7_2009'!J5</f>
        <v>6053666.1878060773</v>
      </c>
      <c r="D5" s="14">
        <v>135519.86040000001</v>
      </c>
      <c r="E5" s="13">
        <f>C5-D5</f>
        <v>5918146.3274060776</v>
      </c>
      <c r="F5" s="13">
        <v>888035.19334325753</v>
      </c>
      <c r="G5" s="58">
        <f>E5-F5</f>
        <v>5030111.1340628201</v>
      </c>
      <c r="I5" s="71"/>
    </row>
    <row r="6" spans="1:9" ht="13.5" customHeight="1">
      <c r="A6" s="36">
        <v>1309</v>
      </c>
      <c r="B6" s="36" t="s">
        <v>2</v>
      </c>
      <c r="C6" s="13">
        <f>'Skema1-7_2009'!J6</f>
        <v>1593649.8727834821</v>
      </c>
      <c r="D6" s="14">
        <v>31632.09</v>
      </c>
      <c r="E6" s="13">
        <f t="shared" ref="E6:E36" si="0">C6-D6</f>
        <v>1562017.782783482</v>
      </c>
      <c r="F6" s="13">
        <v>64272.28751332088</v>
      </c>
      <c r="G6" s="58">
        <f t="shared" ref="G6:G43" si="1">E6-F6</f>
        <v>1497745.4952701612</v>
      </c>
      <c r="I6" s="71"/>
    </row>
    <row r="7" spans="1:9" ht="13.5" customHeight="1">
      <c r="A7" s="36">
        <v>1330</v>
      </c>
      <c r="B7" s="36" t="s">
        <v>3</v>
      </c>
      <c r="C7" s="13">
        <f>'Skema1-7_2009'!J7</f>
        <v>2306317.6417457364</v>
      </c>
      <c r="D7" s="14">
        <v>42531.423729863243</v>
      </c>
      <c r="E7" s="13">
        <f t="shared" si="0"/>
        <v>2263786.2180158733</v>
      </c>
      <c r="F7" s="13">
        <v>151724.65746255827</v>
      </c>
      <c r="G7" s="58">
        <f t="shared" si="1"/>
        <v>2112061.5605533151</v>
      </c>
      <c r="I7" s="71"/>
    </row>
    <row r="8" spans="1:9" ht="13.5" customHeight="1">
      <c r="A8" s="36">
        <v>1351</v>
      </c>
      <c r="B8" s="36" t="s">
        <v>4</v>
      </c>
      <c r="C8" s="13">
        <f>'Skema1-7_2009'!J8</f>
        <v>383233.76662238548</v>
      </c>
      <c r="D8" s="14">
        <v>0</v>
      </c>
      <c r="E8" s="13">
        <f t="shared" si="0"/>
        <v>383233.76662238548</v>
      </c>
      <c r="F8" s="13">
        <v>934.53085700393262</v>
      </c>
      <c r="G8" s="58">
        <f t="shared" si="1"/>
        <v>382299.23576538154</v>
      </c>
      <c r="I8" s="71"/>
    </row>
    <row r="9" spans="1:9" ht="13.5" customHeight="1">
      <c r="A9" s="36">
        <v>1401</v>
      </c>
      <c r="B9" s="36" t="s">
        <v>5</v>
      </c>
      <c r="C9" s="13">
        <f>'Skema1-7_2009'!J9</f>
        <v>712207.09200254863</v>
      </c>
      <c r="D9" s="14">
        <v>1769.5889350229995</v>
      </c>
      <c r="E9" s="13">
        <f t="shared" si="0"/>
        <v>710437.50306752557</v>
      </c>
      <c r="F9" s="13">
        <v>42144.021016470295</v>
      </c>
      <c r="G9" s="58">
        <f t="shared" si="1"/>
        <v>668293.4820510553</v>
      </c>
      <c r="I9" s="71"/>
    </row>
    <row r="10" spans="1:9" ht="13.5" customHeight="1">
      <c r="A10" s="36">
        <v>1501</v>
      </c>
      <c r="B10" s="36" t="s">
        <v>6</v>
      </c>
      <c r="C10" s="13">
        <f>'Skema1-7_2009'!J10</f>
        <v>1406810.6194586665</v>
      </c>
      <c r="D10" s="14">
        <v>18191.775418293746</v>
      </c>
      <c r="E10" s="13">
        <f t="shared" si="0"/>
        <v>1388618.8440403729</v>
      </c>
      <c r="F10" s="13">
        <v>54672.056419920002</v>
      </c>
      <c r="G10" s="58">
        <f t="shared" si="1"/>
        <v>1333946.7876204529</v>
      </c>
      <c r="I10" s="71"/>
    </row>
    <row r="11" spans="1:9" ht="13.5" customHeight="1">
      <c r="A11" s="36">
        <v>1502</v>
      </c>
      <c r="B11" s="36" t="s">
        <v>7</v>
      </c>
      <c r="C11" s="13">
        <f>'Skema1-7_2009'!J11</f>
        <v>1466222.9080129787</v>
      </c>
      <c r="D11" s="14">
        <v>32424.262747080746</v>
      </c>
      <c r="E11" s="13">
        <f t="shared" si="0"/>
        <v>1433798.645265898</v>
      </c>
      <c r="F11" s="13">
        <v>140581.24233240634</v>
      </c>
      <c r="G11" s="58">
        <f t="shared" si="1"/>
        <v>1293217.4029334916</v>
      </c>
      <c r="I11" s="71"/>
    </row>
    <row r="12" spans="1:9" ht="13.5" customHeight="1">
      <c r="A12" s="36">
        <v>1516</v>
      </c>
      <c r="B12" s="36" t="s">
        <v>8</v>
      </c>
      <c r="C12" s="13">
        <f>'Skema1-7_2009'!J12</f>
        <v>2886811.6988921966</v>
      </c>
      <c r="D12" s="14">
        <v>68524.768502121733</v>
      </c>
      <c r="E12" s="13">
        <f t="shared" si="0"/>
        <v>2818286.9303900748</v>
      </c>
      <c r="F12" s="13">
        <v>325658.01720095333</v>
      </c>
      <c r="G12" s="58">
        <f t="shared" si="1"/>
        <v>2492628.9131891215</v>
      </c>
      <c r="I12" s="71"/>
    </row>
    <row r="13" spans="1:9" ht="13.5" customHeight="1">
      <c r="A13" s="36">
        <v>2000</v>
      </c>
      <c r="B13" s="36" t="s">
        <v>9</v>
      </c>
      <c r="C13" s="13">
        <f>'Skema1-7_2009'!J13</f>
        <v>2650988.8569091265</v>
      </c>
      <c r="D13" s="14">
        <v>20342.2713</v>
      </c>
      <c r="E13" s="13">
        <f t="shared" si="0"/>
        <v>2630646.5856091264</v>
      </c>
      <c r="F13" s="13">
        <v>100203.02205507579</v>
      </c>
      <c r="G13" s="58">
        <f t="shared" si="1"/>
        <v>2530443.5635540504</v>
      </c>
      <c r="I13" s="71"/>
    </row>
    <row r="14" spans="1:9" ht="13.5" customHeight="1">
      <c r="A14" s="36">
        <v>4001</v>
      </c>
      <c r="B14" s="36" t="s">
        <v>11</v>
      </c>
      <c r="C14" s="13">
        <f>'Skema1-7_2009'!J14</f>
        <v>371924.5549210672</v>
      </c>
      <c r="D14" s="14">
        <v>0</v>
      </c>
      <c r="E14" s="13">
        <f>C14-D14</f>
        <v>371924.5549210672</v>
      </c>
      <c r="F14" s="13">
        <v>16836.762967183884</v>
      </c>
      <c r="G14" s="58">
        <f t="shared" si="1"/>
        <v>355087.79195388331</v>
      </c>
      <c r="I14" s="71"/>
    </row>
    <row r="15" spans="1:9" ht="13.5" customHeight="1">
      <c r="A15" s="36">
        <v>2500</v>
      </c>
      <c r="B15" s="36" t="s">
        <v>10</v>
      </c>
      <c r="C15" s="13">
        <f>'Skema1-7_2009'!J15</f>
        <v>3337039</v>
      </c>
      <c r="D15" s="14">
        <v>6896</v>
      </c>
      <c r="E15" s="13">
        <f t="shared" si="0"/>
        <v>3330143</v>
      </c>
      <c r="F15" s="13">
        <v>170035.39829939086</v>
      </c>
      <c r="G15" s="58">
        <f t="shared" si="1"/>
        <v>3160107.6017006091</v>
      </c>
      <c r="I15" s="71"/>
    </row>
    <row r="16" spans="1:9" ht="13.5" customHeight="1">
      <c r="A16" s="36">
        <v>2501</v>
      </c>
      <c r="B16" s="36" t="s">
        <v>56</v>
      </c>
      <c r="C16" s="13">
        <f>'Skema1-7_2009'!J16</f>
        <v>3327616</v>
      </c>
      <c r="D16" s="14">
        <v>35450</v>
      </c>
      <c r="E16" s="13">
        <f t="shared" si="0"/>
        <v>3292166</v>
      </c>
      <c r="F16" s="13">
        <v>206200.14443233676</v>
      </c>
      <c r="G16" s="58">
        <f t="shared" si="1"/>
        <v>3085965.8555676634</v>
      </c>
      <c r="I16" s="71"/>
    </row>
    <row r="17" spans="1:9" ht="13.5" customHeight="1">
      <c r="A17" s="36">
        <v>4202</v>
      </c>
      <c r="B17" s="36" t="s">
        <v>12</v>
      </c>
      <c r="C17" s="13">
        <f>'Skema1-7_2009'!J17</f>
        <v>4222529.1444358397</v>
      </c>
      <c r="D17" s="14">
        <v>46506.215599999996</v>
      </c>
      <c r="E17" s="13">
        <f t="shared" si="0"/>
        <v>4176022.92883584</v>
      </c>
      <c r="F17" s="13">
        <v>360953.88671651954</v>
      </c>
      <c r="G17" s="58">
        <f t="shared" si="1"/>
        <v>3815069.0421193205</v>
      </c>
      <c r="I17" s="71"/>
    </row>
    <row r="18" spans="1:9" ht="13.5" customHeight="1">
      <c r="A18" s="36">
        <v>4212</v>
      </c>
      <c r="B18" s="36" t="s">
        <v>50</v>
      </c>
      <c r="C18" s="13">
        <f>'Skema1-7_2009'!J18</f>
        <v>1082495.1529099599</v>
      </c>
      <c r="D18" s="14">
        <v>2823.3607999999999</v>
      </c>
      <c r="E18" s="13">
        <f t="shared" si="0"/>
        <v>1079671.79210996</v>
      </c>
      <c r="F18" s="13">
        <v>16245.265631772247</v>
      </c>
      <c r="G18" s="58">
        <f t="shared" si="1"/>
        <v>1063426.5264781876</v>
      </c>
      <c r="I18" s="71"/>
    </row>
    <row r="19" spans="1:9" ht="13.5" customHeight="1">
      <c r="A19" s="36">
        <v>5000</v>
      </c>
      <c r="B19" s="36" t="s">
        <v>57</v>
      </c>
      <c r="C19" s="13">
        <f>'Skema1-7_2009'!J19</f>
        <v>1726952.6342899001</v>
      </c>
      <c r="D19" s="14">
        <v>2950</v>
      </c>
      <c r="E19" s="13">
        <f t="shared" si="0"/>
        <v>1724002.6342899001</v>
      </c>
      <c r="F19" s="13">
        <v>96377.838473669384</v>
      </c>
      <c r="G19" s="58">
        <f t="shared" si="1"/>
        <v>1627624.7958162306</v>
      </c>
      <c r="I19" s="71"/>
    </row>
    <row r="20" spans="1:9" ht="13.5" customHeight="1">
      <c r="A20" s="36">
        <v>5501</v>
      </c>
      <c r="B20" s="36" t="s">
        <v>13</v>
      </c>
      <c r="C20" s="13">
        <f>'Skema1-7_2009'!J20</f>
        <v>1610072.8996526001</v>
      </c>
      <c r="D20" s="14">
        <v>2764</v>
      </c>
      <c r="E20" s="13">
        <f t="shared" si="0"/>
        <v>1607308.8996526001</v>
      </c>
      <c r="F20" s="13">
        <v>117749.8387692033</v>
      </c>
      <c r="G20" s="58">
        <f t="shared" si="1"/>
        <v>1489559.0608833968</v>
      </c>
      <c r="I20" s="71"/>
    </row>
    <row r="21" spans="1:9" ht="13.5" customHeight="1">
      <c r="A21" s="36">
        <v>6007</v>
      </c>
      <c r="B21" s="36" t="s">
        <v>14</v>
      </c>
      <c r="C21" s="13">
        <f>'Skema1-7_2009'!J21</f>
        <v>1234101.3664424799</v>
      </c>
      <c r="D21" s="14">
        <v>1368</v>
      </c>
      <c r="E21" s="13">
        <f t="shared" si="0"/>
        <v>1232733.3664424799</v>
      </c>
      <c r="F21" s="13">
        <v>59053.338124199865</v>
      </c>
      <c r="G21" s="58">
        <f t="shared" si="1"/>
        <v>1173680.0283182801</v>
      </c>
      <c r="I21" s="71"/>
    </row>
    <row r="22" spans="1:9" ht="13.5" customHeight="1">
      <c r="A22" s="36">
        <v>6008</v>
      </c>
      <c r="B22" s="36" t="s">
        <v>85</v>
      </c>
      <c r="C22" s="13">
        <f>'Skema1-7_2009'!J22</f>
        <v>1362450.8035422601</v>
      </c>
      <c r="D22" s="14">
        <v>15326</v>
      </c>
      <c r="E22" s="13">
        <f t="shared" si="0"/>
        <v>1347124.8035422601</v>
      </c>
      <c r="F22" s="13">
        <v>213349.93926505398</v>
      </c>
      <c r="G22" s="58">
        <f t="shared" si="1"/>
        <v>1133774.8642772061</v>
      </c>
      <c r="I22" s="71"/>
    </row>
    <row r="23" spans="1:9" ht="13.5" customHeight="1">
      <c r="A23" s="36">
        <v>6013</v>
      </c>
      <c r="B23" s="36" t="s">
        <v>73</v>
      </c>
      <c r="C23" s="13">
        <f>'Skema1-7_2009'!J23</f>
        <v>64535.63852696</v>
      </c>
      <c r="D23" s="14">
        <v>0</v>
      </c>
      <c r="E23" s="13">
        <f t="shared" si="0"/>
        <v>64535.63852696</v>
      </c>
      <c r="F23" s="13">
        <v>0</v>
      </c>
      <c r="G23" s="58">
        <f t="shared" si="1"/>
        <v>64535.63852696</v>
      </c>
      <c r="I23" s="71"/>
    </row>
    <row r="24" spans="1:9" ht="13.5" customHeight="1">
      <c r="A24" s="36">
        <v>6014</v>
      </c>
      <c r="B24" s="36" t="s">
        <v>74</v>
      </c>
      <c r="C24" s="13">
        <f>'Skema1-7_2009'!J24</f>
        <v>53741.552574529698</v>
      </c>
      <c r="D24" s="14">
        <v>0</v>
      </c>
      <c r="E24" s="13">
        <f t="shared" si="0"/>
        <v>53741.552574529698</v>
      </c>
      <c r="F24" s="13">
        <v>1075.1001759999999</v>
      </c>
      <c r="G24" s="58">
        <f t="shared" si="1"/>
        <v>52666.452398529698</v>
      </c>
      <c r="I24" s="71"/>
    </row>
    <row r="25" spans="1:9" ht="13.5" customHeight="1">
      <c r="A25" s="36">
        <v>6006</v>
      </c>
      <c r="B25" s="36" t="s">
        <v>51</v>
      </c>
      <c r="C25" s="13">
        <f>'Skema1-7_2009'!J25</f>
        <v>827150.82899070415</v>
      </c>
      <c r="D25" s="14">
        <v>2212</v>
      </c>
      <c r="E25" s="13">
        <f t="shared" si="0"/>
        <v>824938.82899070415</v>
      </c>
      <c r="F25" s="13">
        <v>16830.986240866718</v>
      </c>
      <c r="G25" s="58">
        <f t="shared" si="1"/>
        <v>808107.84274983744</v>
      </c>
      <c r="I25" s="71"/>
    </row>
    <row r="26" spans="1:9" ht="13.5" customHeight="1">
      <c r="A26" s="36">
        <v>6500</v>
      </c>
      <c r="B26" s="36" t="s">
        <v>15</v>
      </c>
      <c r="C26" s="13">
        <f>'Skema1-7_2009'!J26</f>
        <v>1979548.1160100675</v>
      </c>
      <c r="D26" s="14">
        <v>7388</v>
      </c>
      <c r="E26" s="13">
        <f t="shared" si="0"/>
        <v>1972160.1160100675</v>
      </c>
      <c r="F26" s="13">
        <v>152549.40490671209</v>
      </c>
      <c r="G26" s="58">
        <f t="shared" si="1"/>
        <v>1819610.7111033555</v>
      </c>
      <c r="I26" s="71"/>
    </row>
    <row r="27" spans="1:9" ht="13.5" customHeight="1">
      <c r="A27" s="36">
        <v>7002</v>
      </c>
      <c r="B27" s="36" t="s">
        <v>16</v>
      </c>
      <c r="C27" s="13">
        <f>'Skema1-7_2009'!J27</f>
        <v>624927.70236787328</v>
      </c>
      <c r="D27" s="14">
        <v>52</v>
      </c>
      <c r="E27" s="13">
        <f t="shared" si="0"/>
        <v>624875.70236787328</v>
      </c>
      <c r="F27" s="13">
        <v>26286.685773321282</v>
      </c>
      <c r="G27" s="58">
        <f t="shared" si="1"/>
        <v>598589.01659455197</v>
      </c>
      <c r="I27" s="71"/>
    </row>
    <row r="28" spans="1:9" ht="13.5" customHeight="1">
      <c r="A28" s="36">
        <v>7003</v>
      </c>
      <c r="B28" s="36" t="s">
        <v>17</v>
      </c>
      <c r="C28" s="13">
        <f>'Skema1-7_2009'!J28</f>
        <v>3731522.6751020127</v>
      </c>
      <c r="D28" s="14">
        <v>114200</v>
      </c>
      <c r="E28" s="13">
        <f t="shared" si="0"/>
        <v>3617322.6751020127</v>
      </c>
      <c r="F28" s="13">
        <v>469722.5321037423</v>
      </c>
      <c r="G28" s="58">
        <f t="shared" si="1"/>
        <v>3147600.1429982702</v>
      </c>
      <c r="I28" s="71"/>
    </row>
    <row r="29" spans="1:9" ht="13.5" customHeight="1">
      <c r="A29" s="36">
        <v>7005</v>
      </c>
      <c r="B29" s="36" t="s">
        <v>18</v>
      </c>
      <c r="C29" s="13">
        <f>'Skema1-7_2009'!J29</f>
        <v>1044530.1578724238</v>
      </c>
      <c r="D29" s="14">
        <v>2000</v>
      </c>
      <c r="E29" s="13">
        <f t="shared" si="0"/>
        <v>1042530.1578724238</v>
      </c>
      <c r="F29" s="13">
        <v>27431.749847292787</v>
      </c>
      <c r="G29" s="58">
        <f t="shared" si="1"/>
        <v>1015098.408025131</v>
      </c>
      <c r="I29" s="71"/>
    </row>
    <row r="30" spans="1:9" ht="13.5" customHeight="1">
      <c r="A30" s="36">
        <v>7026</v>
      </c>
      <c r="B30" s="36" t="s">
        <v>52</v>
      </c>
      <c r="C30" s="13">
        <f>'Skema1-7_2009'!J30</f>
        <v>2038017.5772995478</v>
      </c>
      <c r="D30" s="14">
        <v>58504</v>
      </c>
      <c r="E30" s="13">
        <f t="shared" si="0"/>
        <v>1979513.5772995478</v>
      </c>
      <c r="F30" s="13">
        <v>241019.14300924807</v>
      </c>
      <c r="G30" s="58">
        <f t="shared" si="1"/>
        <v>1738494.4342902997</v>
      </c>
      <c r="I30" s="71"/>
    </row>
    <row r="31" spans="1:9" ht="13.5" customHeight="1">
      <c r="A31" s="36">
        <v>7601</v>
      </c>
      <c r="B31" s="36" t="s">
        <v>53</v>
      </c>
      <c r="C31" s="13">
        <f>'Skema1-7_2009'!J31</f>
        <v>1620783.3897828411</v>
      </c>
      <c r="D31" s="14">
        <v>1972</v>
      </c>
      <c r="E31" s="13">
        <f t="shared" si="0"/>
        <v>1618811.3897828411</v>
      </c>
      <c r="F31" s="13">
        <v>95223.166580976729</v>
      </c>
      <c r="G31" s="58">
        <f t="shared" si="1"/>
        <v>1523588.2232018644</v>
      </c>
      <c r="I31" s="71"/>
    </row>
    <row r="32" spans="1:9" ht="13.5" customHeight="1">
      <c r="A32" s="36">
        <v>7603</v>
      </c>
      <c r="B32" s="36" t="s">
        <v>19</v>
      </c>
      <c r="C32" s="13">
        <f>'Skema1-7_2009'!J32</f>
        <v>460706.67823855858</v>
      </c>
      <c r="D32" s="14">
        <v>0</v>
      </c>
      <c r="E32" s="13">
        <f t="shared" si="0"/>
        <v>460706.67823855858</v>
      </c>
      <c r="F32" s="13">
        <v>4084.6444337107291</v>
      </c>
      <c r="G32" s="58">
        <f t="shared" si="1"/>
        <v>456622.03380484786</v>
      </c>
      <c r="I32" s="71"/>
    </row>
    <row r="33" spans="1:9" ht="13.5" customHeight="1">
      <c r="A33" s="36">
        <v>8001</v>
      </c>
      <c r="B33" s="36" t="s">
        <v>54</v>
      </c>
      <c r="C33" s="13">
        <f>'Skema1-7_2009'!J33</f>
        <v>3227913.7934582205</v>
      </c>
      <c r="D33" s="14">
        <v>61693</v>
      </c>
      <c r="E33" s="13">
        <f t="shared" si="0"/>
        <v>3166220.7934582205</v>
      </c>
      <c r="F33" s="13">
        <v>268697.3450274475</v>
      </c>
      <c r="G33" s="58">
        <f t="shared" si="1"/>
        <v>2897523.4484307729</v>
      </c>
      <c r="I33" s="71"/>
    </row>
    <row r="34" spans="1:9" ht="13.5" customHeight="1">
      <c r="A34" s="36">
        <v>8003</v>
      </c>
      <c r="B34" s="36" t="s">
        <v>20</v>
      </c>
      <c r="C34" s="13">
        <f>'Skema1-7_2009'!J34</f>
        <v>876431.96315309941</v>
      </c>
      <c r="D34" s="14">
        <v>0</v>
      </c>
      <c r="E34" s="13">
        <f t="shared" si="0"/>
        <v>876431.96315309941</v>
      </c>
      <c r="F34" s="13">
        <v>36635.71246204339</v>
      </c>
      <c r="G34" s="58">
        <f t="shared" si="1"/>
        <v>839796.25069105602</v>
      </c>
      <c r="I34" s="71"/>
    </row>
    <row r="35" spans="1:9" ht="13.5" customHeight="1">
      <c r="A35" s="36">
        <v>8005</v>
      </c>
      <c r="B35" s="36" t="s">
        <v>21</v>
      </c>
      <c r="C35" s="13">
        <f>'Skema1-7_2009'!J35</f>
        <v>247142.76224628475</v>
      </c>
      <c r="D35" s="14">
        <v>0</v>
      </c>
      <c r="E35" s="13">
        <f t="shared" si="0"/>
        <v>247142.76224628475</v>
      </c>
      <c r="F35" s="13">
        <v>801.47629740369882</v>
      </c>
      <c r="G35" s="58">
        <f t="shared" si="1"/>
        <v>246341.28594888106</v>
      </c>
      <c r="I35" s="71"/>
    </row>
    <row r="36" spans="1:9" ht="13.5" customHeight="1">
      <c r="A36" s="39">
        <v>8040</v>
      </c>
      <c r="B36" s="36" t="s">
        <v>55</v>
      </c>
      <c r="C36" s="13">
        <f>'Skema1-7_2009'!J36</f>
        <v>568080.80290383694</v>
      </c>
      <c r="D36" s="14">
        <v>3274</v>
      </c>
      <c r="E36" s="13">
        <f t="shared" si="0"/>
        <v>564806.80290383694</v>
      </c>
      <c r="F36" s="13">
        <v>378.77359999999999</v>
      </c>
      <c r="G36" s="58">
        <f t="shared" si="1"/>
        <v>564428.02930383699</v>
      </c>
      <c r="I36" s="71"/>
    </row>
    <row r="37" spans="1:9" ht="13.5" customHeight="1">
      <c r="A37" s="74"/>
      <c r="B37" s="41" t="s">
        <v>30</v>
      </c>
      <c r="C37" s="64">
        <f>SUM(C5:C36)</f>
        <v>55100123.838954277</v>
      </c>
      <c r="D37" s="64">
        <f>SUM(D5:D36)</f>
        <v>716314.61743238254</v>
      </c>
      <c r="E37" s="64">
        <f>SUM(E5:E36)</f>
        <v>54383809.221521892</v>
      </c>
      <c r="F37" s="64">
        <f>SUM(F5:F36)</f>
        <v>4365764.1613390623</v>
      </c>
      <c r="G37" s="65">
        <f t="shared" si="1"/>
        <v>50018045.060182832</v>
      </c>
    </row>
    <row r="38" spans="1:9" ht="13.5" customHeight="1"/>
    <row r="39" spans="1:9" ht="13.5" customHeight="1">
      <c r="B39" s="26" t="s">
        <v>44</v>
      </c>
      <c r="C39" s="59">
        <f>SUM(C5:C14)</f>
        <v>19831833.199154265</v>
      </c>
      <c r="D39" s="59">
        <f>SUM(D5:D14)</f>
        <v>350936.04103238252</v>
      </c>
      <c r="E39" s="59">
        <f>SUM(E5:E14)</f>
        <v>19480897.158121884</v>
      </c>
      <c r="F39" s="59">
        <f>SUM(F5:F14)</f>
        <v>1785061.7911681505</v>
      </c>
      <c r="G39" s="67">
        <f t="shared" si="1"/>
        <v>17695835.366953734</v>
      </c>
    </row>
    <row r="40" spans="1:9" ht="13.5" customHeight="1">
      <c r="B40" s="19" t="s">
        <v>45</v>
      </c>
      <c r="C40" s="60">
        <f>SUM(C15:C16)</f>
        <v>6664655</v>
      </c>
      <c r="D40" s="60">
        <f>SUM(D15:D16)</f>
        <v>42346</v>
      </c>
      <c r="E40" s="60">
        <f>SUM(E15:E16)</f>
        <v>6622309</v>
      </c>
      <c r="F40" s="60">
        <f>SUM(F15:F16)</f>
        <v>376235.54273172759</v>
      </c>
      <c r="G40" s="68">
        <f t="shared" si="1"/>
        <v>6246073.4572682725</v>
      </c>
    </row>
    <row r="41" spans="1:9" ht="13.5" customHeight="1">
      <c r="B41" s="19" t="s">
        <v>46</v>
      </c>
      <c r="C41" s="60">
        <f>SUM(C17:C23)</f>
        <v>11303137.639799997</v>
      </c>
      <c r="D41" s="60">
        <f>SUM(D17:D23)</f>
        <v>71737.576399999991</v>
      </c>
      <c r="E41" s="60">
        <f>SUM(E17:E23)</f>
        <v>11231400.063399998</v>
      </c>
      <c r="F41" s="60">
        <f>SUM(F17:F23)</f>
        <v>863730.10698041832</v>
      </c>
      <c r="G41" s="68">
        <f t="shared" si="1"/>
        <v>10367669.95641958</v>
      </c>
    </row>
    <row r="42" spans="1:9" ht="13.5" customHeight="1">
      <c r="B42" s="19" t="s">
        <v>47</v>
      </c>
      <c r="C42" s="60">
        <f>SUM(C24:C31)</f>
        <v>11920222</v>
      </c>
      <c r="D42" s="60">
        <f>SUM(D24:D31)</f>
        <v>186328</v>
      </c>
      <c r="E42" s="60">
        <f>SUM(E24:E31)</f>
        <v>11733894</v>
      </c>
      <c r="F42" s="60">
        <f>SUM(F24:F31)</f>
        <v>1030138.76863816</v>
      </c>
      <c r="G42" s="68">
        <f t="shared" si="1"/>
        <v>10703755.23136184</v>
      </c>
    </row>
    <row r="43" spans="1:9" ht="13.5" customHeight="1">
      <c r="B43" s="20" t="s">
        <v>48</v>
      </c>
      <c r="C43" s="61">
        <f>SUM(C32:C36)</f>
        <v>5380276</v>
      </c>
      <c r="D43" s="61">
        <f>SUM(D32:D36)</f>
        <v>64967</v>
      </c>
      <c r="E43" s="61">
        <f>SUM(E32:E36)</f>
        <v>5315309</v>
      </c>
      <c r="F43" s="61">
        <f>SUM(F32:F36)</f>
        <v>310597.95182060532</v>
      </c>
      <c r="G43" s="69">
        <f t="shared" si="1"/>
        <v>5004711.0481793946</v>
      </c>
    </row>
    <row r="44" spans="1:9" ht="13.5" customHeight="1">
      <c r="B44" s="16" t="s">
        <v>30</v>
      </c>
      <c r="C44" s="62">
        <f>SUM(C39:C43)</f>
        <v>55100123.838954262</v>
      </c>
      <c r="D44" s="62">
        <f>SUM(D39:D43)</f>
        <v>716314.61743238254</v>
      </c>
      <c r="E44" s="62">
        <f>SUM(E39:E43)</f>
        <v>54383809.221521884</v>
      </c>
      <c r="F44" s="62">
        <f>SUM(F39:F43)</f>
        <v>4365764.1613390613</v>
      </c>
      <c r="G44" s="63">
        <f>SUM(G39:G43)</f>
        <v>50018045.060182817</v>
      </c>
    </row>
    <row r="45" spans="1:9" ht="13.5" customHeight="1"/>
    <row r="46" spans="1:9" ht="13.5" customHeight="1"/>
    <row r="47" spans="1:9" ht="13.5" customHeight="1"/>
    <row r="48" spans="1:9" ht="13.5" customHeight="1"/>
    <row r="49" ht="13.5" customHeight="1"/>
    <row r="50" ht="13.5" customHeight="1"/>
    <row r="51" ht="13.5" customHeight="1"/>
    <row r="52" ht="13.5" customHeight="1"/>
  </sheetData>
  <phoneticPr fontId="12" type="noConversion"/>
  <pageMargins left="0.52" right="0.43" top="0.52" bottom="0.19" header="0.23" footer="0.25"/>
  <pageSetup paperSize="9" scale="86" orientation="landscape" r:id="rId1"/>
  <headerFooter alignWithMargins="0">
    <oddHeader>&amp;CSide &amp;P /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52"/>
  <sheetViews>
    <sheetView zoomScaleNormal="100" zoomScaleSheetLayoutView="100" workbookViewId="0">
      <selection activeCell="E48" sqref="E48"/>
    </sheetView>
  </sheetViews>
  <sheetFormatPr defaultRowHeight="12"/>
  <cols>
    <col min="1" max="1" width="8.5703125" style="51" customWidth="1"/>
    <col min="2" max="2" width="39.28515625" style="6" customWidth="1"/>
    <col min="3" max="3" width="20.140625" style="7" customWidth="1"/>
    <col min="4" max="7" width="14.28515625" style="6" customWidth="1"/>
    <col min="8" max="16384" width="9.140625" style="6"/>
  </cols>
  <sheetData>
    <row r="1" spans="1:7" ht="15.75">
      <c r="A1" s="8" t="str">
        <f>'Skema1-7_2008'!A1</f>
        <v>Bilag E til Løbende Offentliggørelse af Produktivitet i Sygehussektoren, 2008-2009. December 2010</v>
      </c>
    </row>
    <row r="2" spans="1:7" ht="13.5" customHeight="1">
      <c r="A2" s="57" t="s">
        <v>80</v>
      </c>
      <c r="B2" s="3"/>
      <c r="C2" s="4"/>
      <c r="D2" s="51"/>
    </row>
    <row r="3" spans="1:7" ht="13.5" customHeight="1">
      <c r="A3" s="25" t="s">
        <v>82</v>
      </c>
      <c r="B3" s="3"/>
      <c r="C3" s="4"/>
    </row>
    <row r="4" spans="1:7" ht="54" customHeight="1">
      <c r="A4" s="72" t="s">
        <v>22</v>
      </c>
      <c r="B4" s="72" t="s">
        <v>0</v>
      </c>
      <c r="C4" s="12" t="s">
        <v>31</v>
      </c>
      <c r="D4" s="12" t="s">
        <v>32</v>
      </c>
      <c r="E4" s="12" t="s">
        <v>39</v>
      </c>
      <c r="F4" s="12" t="s">
        <v>37</v>
      </c>
      <c r="G4" s="12" t="s">
        <v>38</v>
      </c>
    </row>
    <row r="5" spans="1:7" ht="13.5" customHeight="1">
      <c r="A5" s="36">
        <v>1301</v>
      </c>
      <c r="B5" s="36" t="s">
        <v>1</v>
      </c>
      <c r="C5" s="13">
        <f>IF(DTD_08!C5=0,"-",DTD_09!C5/DTD_08!C5*100-100)</f>
        <v>5.1194320351671365</v>
      </c>
      <c r="D5" s="14">
        <f>IF(DTD_08!D5=0,"-",DTD_09!D5/DTD_08!D5*100-100)</f>
        <v>1.2427745664739973</v>
      </c>
      <c r="E5" s="13">
        <f>IF(DTD_08!E5=0,"-",DTD_09!E5/DTD_08!E5*100-100)</f>
        <v>5.2116837841683434</v>
      </c>
      <c r="F5" s="13">
        <f>IF(DTD_08!F5=0,"-",DTD_09!F5/DTD_08!F5*100-100)</f>
        <v>13.807294627403138</v>
      </c>
      <c r="G5" s="58">
        <f>IF(DTD_08!G5=0,"-",DTD_09!G5/DTD_08!G5*100-100)</f>
        <v>3.8272550173947337</v>
      </c>
    </row>
    <row r="6" spans="1:7" ht="13.5" customHeight="1">
      <c r="A6" s="36">
        <v>1309</v>
      </c>
      <c r="B6" s="36" t="s">
        <v>2</v>
      </c>
      <c r="C6" s="13">
        <f>IF(DTD_08!C6=0,"-",DTD_09!C6/DTD_08!C6*100-100)</f>
        <v>10.297991320498184</v>
      </c>
      <c r="D6" s="14">
        <f>IF(DTD_08!D6=0,"-",DTD_09!D6/DTD_08!D6*100-100)</f>
        <v>1.2427745664739973</v>
      </c>
      <c r="E6" s="13">
        <f>IF(DTD_08!E6=0,"-",DTD_09!E6/DTD_08!E6*100-100)</f>
        <v>10.498130288130866</v>
      </c>
      <c r="F6" s="13">
        <f>IF(DTD_08!F6=0,"-",DTD_09!F6/DTD_08!F6*100-100)</f>
        <v>53.355143082690404</v>
      </c>
      <c r="G6" s="58">
        <f>IF(DTD_08!G6=0,"-",DTD_09!G6/DTD_08!G6*100-100)</f>
        <v>9.1886862969443825</v>
      </c>
    </row>
    <row r="7" spans="1:7" ht="13.5" customHeight="1">
      <c r="A7" s="36">
        <v>1330</v>
      </c>
      <c r="B7" s="36" t="s">
        <v>3</v>
      </c>
      <c r="C7" s="13">
        <f>IF(DTD_08!C7=0,"-",DTD_09!C7/DTD_08!C7*100-100)</f>
        <v>24.776441820878631</v>
      </c>
      <c r="D7" s="14">
        <f>IF(DTD_08!D7=0,"-",DTD_09!D7/DTD_08!D7*100-100)</f>
        <v>1.2438453631019826</v>
      </c>
      <c r="E7" s="13">
        <f>IF(DTD_08!E7=0,"-",DTD_09!E7/DTD_08!E7*100-100)</f>
        <v>25.323721101273762</v>
      </c>
      <c r="F7" s="13">
        <f>IF(DTD_08!F7=0,"-",DTD_09!F7/DTD_08!F7*100-100)</f>
        <v>6.3780271048086092</v>
      </c>
      <c r="G7" s="58">
        <f>IF(DTD_08!G7=0,"-",DTD_09!G7/DTD_08!G7*100-100)</f>
        <v>26.947899383618463</v>
      </c>
    </row>
    <row r="8" spans="1:7" ht="13.5" customHeight="1">
      <c r="A8" s="36">
        <v>1351</v>
      </c>
      <c r="B8" s="36" t="s">
        <v>4</v>
      </c>
      <c r="C8" s="13">
        <f>IF(DTD_08!C8=0,"-",DTD_09!C8/DTD_08!C8*100-100)</f>
        <v>-28.126918871899221</v>
      </c>
      <c r="D8" s="14">
        <f>IF(DTD_08!D8=0,"-",DTD_09!D8/DTD_08!D8*100-100)</f>
        <v>-100</v>
      </c>
      <c r="E8" s="13">
        <f>IF(DTD_08!E8=0,"-",DTD_09!E8/DTD_08!E8*100-100)</f>
        <v>-28.063901651719902</v>
      </c>
      <c r="F8" s="13">
        <f>IF(DTD_08!F8=0,"-",DTD_09!F8/DTD_08!F8*100-100)</f>
        <v>-79.346511202745205</v>
      </c>
      <c r="G8" s="58">
        <f>IF(DTD_08!G8=0,"-",DTD_09!G8/DTD_08!G8*100-100)</f>
        <v>-27.624605037832779</v>
      </c>
    </row>
    <row r="9" spans="1:7" ht="13.5" customHeight="1">
      <c r="A9" s="36">
        <v>1401</v>
      </c>
      <c r="B9" s="36" t="s">
        <v>5</v>
      </c>
      <c r="C9" s="13">
        <f>IF(DTD_08!C9=0,"-",DTD_09!C9/DTD_08!C9*100-100)</f>
        <v>2.4493805495774126</v>
      </c>
      <c r="D9" s="14">
        <f>IF(DTD_08!D9=0,"-",DTD_09!D9/DTD_08!D9*100-100)</f>
        <v>1.2355282531613057</v>
      </c>
      <c r="E9" s="13">
        <f>IF(DTD_08!E9=0,"-",DTD_09!E9/DTD_08!E9*100-100)</f>
        <v>2.4524404106843747</v>
      </c>
      <c r="F9" s="13">
        <f>IF(DTD_08!F9=0,"-",DTD_09!F9/DTD_08!F9*100-100)</f>
        <v>15.996057623464438</v>
      </c>
      <c r="G9" s="58">
        <f>IF(DTD_08!G9=0,"-",DTD_09!G9/DTD_08!G9*100-100)</f>
        <v>1.7035876087964255</v>
      </c>
    </row>
    <row r="10" spans="1:7" ht="13.5" customHeight="1">
      <c r="A10" s="36">
        <v>1501</v>
      </c>
      <c r="B10" s="36" t="s">
        <v>6</v>
      </c>
      <c r="C10" s="13">
        <f>IF(DTD_08!C10=0,"-",DTD_09!C10/DTD_08!C10*100-100)</f>
        <v>10.504428878029159</v>
      </c>
      <c r="D10" s="14">
        <f>IF(DTD_08!D10=0,"-",DTD_09!D10/DTD_08!D10*100-100)</f>
        <v>1.2408018061830717</v>
      </c>
      <c r="E10" s="13">
        <f>IF(DTD_08!E10=0,"-",DTD_09!E10/DTD_08!E10*100-100)</f>
        <v>10.637051653518753</v>
      </c>
      <c r="F10" s="13">
        <f>IF(DTD_08!F10=0,"-",DTD_09!F10/DTD_08!F10*100-100)</f>
        <v>95.101886954324726</v>
      </c>
      <c r="G10" s="58">
        <f>IF(DTD_08!G10=0,"-",DTD_09!G10/DTD_08!G10*100-100)</f>
        <v>8.7081788306880696</v>
      </c>
    </row>
    <row r="11" spans="1:7" ht="13.5" customHeight="1">
      <c r="A11" s="36">
        <v>1502</v>
      </c>
      <c r="B11" s="36" t="s">
        <v>7</v>
      </c>
      <c r="C11" s="13">
        <f>IF(DTD_08!C11=0,"-",DTD_09!C11/DTD_08!C11*100-100)</f>
        <v>-8.6733897391967076</v>
      </c>
      <c r="D11" s="14">
        <f>IF(DTD_08!D11=0,"-",DTD_09!D11/DTD_08!D11*100-100)</f>
        <v>1.2421318074220125</v>
      </c>
      <c r="E11" s="13">
        <f>IF(DTD_08!E11=0,"-",DTD_09!E11/DTD_08!E11*100-100)</f>
        <v>-8.8752137108859017</v>
      </c>
      <c r="F11" s="13">
        <f>IF(DTD_08!F11=0,"-",DTD_09!F11/DTD_08!F11*100-100)</f>
        <v>44.474532877565537</v>
      </c>
      <c r="G11" s="58">
        <f>IF(DTD_08!G11=0,"-",DTD_09!G11/DTD_08!G11*100-100)</f>
        <v>-12.391958636679234</v>
      </c>
    </row>
    <row r="12" spans="1:7" ht="13.5" customHeight="1">
      <c r="A12" s="36">
        <v>1516</v>
      </c>
      <c r="B12" s="36" t="s">
        <v>8</v>
      </c>
      <c r="C12" s="13">
        <f>IF(DTD_08!C12=0,"-",DTD_09!C12/DTD_08!C12*100-100)</f>
        <v>8.4659109233147944</v>
      </c>
      <c r="D12" s="14">
        <f>IF(DTD_08!D12=0,"-",DTD_09!D12/DTD_08!D12*100-100)</f>
        <v>1.2424541090106942</v>
      </c>
      <c r="E12" s="13">
        <f>IF(DTD_08!E12=0,"-",DTD_09!E12/DTD_08!E12*100-100)</f>
        <v>8.6544025730016898</v>
      </c>
      <c r="F12" s="13">
        <f>IF(DTD_08!F12=0,"-",DTD_09!F12/DTD_08!F12*100-100)</f>
        <v>10.404592477134059</v>
      </c>
      <c r="G12" s="58">
        <f>IF(DTD_08!G12=0,"-",DTD_09!G12/DTD_08!G12*100-100)</f>
        <v>8.4298329706119119</v>
      </c>
    </row>
    <row r="13" spans="1:7" ht="13.5" customHeight="1">
      <c r="A13" s="36">
        <v>2000</v>
      </c>
      <c r="B13" s="36" t="s">
        <v>9</v>
      </c>
      <c r="C13" s="13">
        <f>IF(DTD_08!C13=0,"-",DTD_09!C13/DTD_08!C13*100-100)</f>
        <v>7.6126965840870469</v>
      </c>
      <c r="D13" s="14">
        <f>IF(DTD_08!D13=0,"-",DTD_09!D13/DTD_08!D13*100-100)</f>
        <v>1.2427745664739973</v>
      </c>
      <c r="E13" s="13">
        <f>IF(DTD_08!E13=0,"-",DTD_09!E13/DTD_08!E13*100-100)</f>
        <v>7.6650785597107642</v>
      </c>
      <c r="F13" s="13">
        <f>IF(DTD_08!F13=0,"-",DTD_09!F13/DTD_08!F13*100-100)</f>
        <v>-3.180179328763316</v>
      </c>
      <c r="G13" s="58">
        <f>IF(DTD_08!G13=0,"-",DTD_09!G13/DTD_08!G13*100-100)</f>
        <v>8.1447736901707231</v>
      </c>
    </row>
    <row r="14" spans="1:7" ht="13.5" customHeight="1">
      <c r="A14" s="36">
        <v>4001</v>
      </c>
      <c r="B14" s="36" t="s">
        <v>11</v>
      </c>
      <c r="C14" s="13">
        <f>IF(DTD_08!C14=0,"-",DTD_09!C14/DTD_08!C14*100-100)</f>
        <v>2.1684972377559149</v>
      </c>
      <c r="D14" s="14" t="str">
        <f>IF(DTD_08!D14=0,"-",DTD_09!D14/DTD_08!D14*100-100)</f>
        <v>-</v>
      </c>
      <c r="E14" s="13">
        <f>IF(DTD_08!E14=0,"-",DTD_09!E14/DTD_08!E14*100-100)</f>
        <v>2.1684972377559149</v>
      </c>
      <c r="F14" s="13">
        <f>IF(DTD_08!F14=0,"-",DTD_09!F14/DTD_08!F14*100-100)</f>
        <v>-1.6362363696597413</v>
      </c>
      <c r="G14" s="58">
        <f>IF(DTD_08!G14=0,"-",DTD_09!G14/DTD_08!G14*100-100)</f>
        <v>2.3562240171900868</v>
      </c>
    </row>
    <row r="15" spans="1:7" ht="13.5" customHeight="1">
      <c r="A15" s="36">
        <v>2500</v>
      </c>
      <c r="B15" s="36" t="s">
        <v>10</v>
      </c>
      <c r="C15" s="13">
        <f>IF(DTD_08!C15=0,"-",DTD_09!C15/DTD_08!C15*100-100)</f>
        <v>4.9140126815860015</v>
      </c>
      <c r="D15" s="14">
        <f>IF(DTD_08!D15=0,"-",DTD_09!D15/DTD_08!D15*100-100)</f>
        <v>-26.182830229073005</v>
      </c>
      <c r="E15" s="13">
        <f>IF(DTD_08!E15=0,"-",DTD_09!E15/DTD_08!E15*100-100)</f>
        <v>5.0056148600329635</v>
      </c>
      <c r="F15" s="13">
        <f>IF(DTD_08!F15=0,"-",DTD_09!F15/DTD_08!F15*100-100)</f>
        <v>16.287461645293405</v>
      </c>
      <c r="G15" s="58">
        <f>IF(DTD_08!G15=0,"-",DTD_09!G15/DTD_08!G15*100-100)</f>
        <v>4.4603140955790792</v>
      </c>
    </row>
    <row r="16" spans="1:7" ht="13.5" customHeight="1">
      <c r="A16" s="36">
        <v>2501</v>
      </c>
      <c r="B16" s="36" t="s">
        <v>56</v>
      </c>
      <c r="C16" s="13">
        <f>IF(DTD_08!C16=0,"-",DTD_09!C16/DTD_08!C16*100-100)</f>
        <v>5.2655764586416325</v>
      </c>
      <c r="D16" s="14">
        <f>IF(DTD_08!D16=0,"-",DTD_09!D16/DTD_08!D16*100-100)</f>
        <v>337.84892050788005</v>
      </c>
      <c r="E16" s="13">
        <f>IF(DTD_08!E16=0,"-",DTD_09!E16/DTD_08!E16*100-100)</f>
        <v>4.4115735157004679</v>
      </c>
      <c r="F16" s="13">
        <f>IF(DTD_08!F16=0,"-",DTD_09!F16/DTD_08!F16*100-100)</f>
        <v>20.600984464278</v>
      </c>
      <c r="G16" s="58">
        <f>IF(DTD_08!G16=0,"-",DTD_09!G16/DTD_08!G16*100-100)</f>
        <v>3.4833585672085121</v>
      </c>
    </row>
    <row r="17" spans="1:7" ht="13.5" customHeight="1">
      <c r="A17" s="36">
        <v>4202</v>
      </c>
      <c r="B17" s="36" t="s">
        <v>12</v>
      </c>
      <c r="C17" s="13">
        <f>IF(DTD_08!C17=0,"-",DTD_09!C17/DTD_08!C17*100-100)</f>
        <v>4.5027756697444232</v>
      </c>
      <c r="D17" s="14">
        <f>IF(DTD_08!D17=0,"-",DTD_09!D17/DTD_08!D17*100-100)</f>
        <v>0.443159922928686</v>
      </c>
      <c r="E17" s="13">
        <f>IF(DTD_08!E17=0,"-",DTD_09!E17/DTD_08!E17*100-100)</f>
        <v>4.5498339481568166</v>
      </c>
      <c r="F17" s="13">
        <f>IF(DTD_08!F17=0,"-",DTD_09!F17/DTD_08!F17*100-100)</f>
        <v>9.1592025647490658</v>
      </c>
      <c r="G17" s="58">
        <f>IF(DTD_08!G17=0,"-",DTD_09!G17/DTD_08!G17*100-100)</f>
        <v>4.1338063417802289</v>
      </c>
    </row>
    <row r="18" spans="1:7" ht="13.5" customHeight="1">
      <c r="A18" s="36">
        <v>4212</v>
      </c>
      <c r="B18" s="36" t="s">
        <v>50</v>
      </c>
      <c r="C18" s="13">
        <f>IF(DTD_08!C18=0,"-",DTD_09!C18/DTD_08!C18*100-100)</f>
        <v>-2.9425998019435866</v>
      </c>
      <c r="D18" s="14">
        <f>IF(DTD_08!D18=0,"-",DTD_09!D18/DTD_08!D18*100-100)</f>
        <v>0.44315992292871442</v>
      </c>
      <c r="E18" s="13">
        <f>IF(DTD_08!E18=0,"-",DTD_09!E18/DTD_08!E18*100-100)</f>
        <v>-2.9511544228111291</v>
      </c>
      <c r="F18" s="13">
        <f>IF(DTD_08!F18=0,"-",DTD_09!F18/DTD_08!F18*100-100)</f>
        <v>-5.3341323758764787</v>
      </c>
      <c r="G18" s="58">
        <f>IF(DTD_08!G18=0,"-",DTD_09!G18/DTD_08!G18*100-100)</f>
        <v>-2.9138205242117863</v>
      </c>
    </row>
    <row r="19" spans="1:7" ht="13.5" customHeight="1">
      <c r="A19" s="36">
        <v>5000</v>
      </c>
      <c r="B19" s="36" t="s">
        <v>57</v>
      </c>
      <c r="C19" s="13">
        <f>IF(DTD_08!C19=0,"-",DTD_09!C19/DTD_08!C19*100-100)</f>
        <v>-1.0932708437167378</v>
      </c>
      <c r="D19" s="14">
        <f>IF(DTD_08!D19=0,"-",DTD_09!D19/DTD_08!D19*100-100)</f>
        <v>1.6453452633958108</v>
      </c>
      <c r="E19" s="13">
        <f>IF(DTD_08!E19=0,"-",DTD_09!E19/DTD_08!E19*100-100)</f>
        <v>-1.0978305153916637</v>
      </c>
      <c r="F19" s="13">
        <f>IF(DTD_08!F19=0,"-",DTD_09!F19/DTD_08!F19*100-100)</f>
        <v>20.432583610871234</v>
      </c>
      <c r="G19" s="58">
        <f>IF(DTD_08!G19=0,"-",DTD_09!G19/DTD_08!G19*100-100)</f>
        <v>-2.133840191847554</v>
      </c>
    </row>
    <row r="20" spans="1:7" ht="13.5" customHeight="1">
      <c r="A20" s="36">
        <v>5501</v>
      </c>
      <c r="B20" s="36" t="s">
        <v>13</v>
      </c>
      <c r="C20" s="13">
        <f>IF(DTD_08!C20=0,"-",DTD_09!C20/DTD_08!C20*100-100)</f>
        <v>3.2364656506062914</v>
      </c>
      <c r="D20" s="14">
        <f>IF(DTD_08!D20=0,"-",DTD_09!D20/DTD_08!D20*100-100)</f>
        <v>-4.763479895584382</v>
      </c>
      <c r="E20" s="13">
        <f>IF(DTD_08!E20=0,"-",DTD_09!E20/DTD_08!E20*100-100)</f>
        <v>3.2513804724094655</v>
      </c>
      <c r="F20" s="13">
        <f>IF(DTD_08!F20=0,"-",DTD_09!F20/DTD_08!F20*100-100)</f>
        <v>14.28969306782389</v>
      </c>
      <c r="G20" s="58">
        <f>IF(DTD_08!G20=0,"-",DTD_09!G20/DTD_08!G20*100-100)</f>
        <v>2.46904878612375</v>
      </c>
    </row>
    <row r="21" spans="1:7" ht="13.5" customHeight="1">
      <c r="A21" s="36">
        <v>6007</v>
      </c>
      <c r="B21" s="36" t="s">
        <v>14</v>
      </c>
      <c r="C21" s="13">
        <f>IF(DTD_08!C21=0,"-",DTD_09!C21/DTD_08!C21*100-100)</f>
        <v>5.3670067474169514</v>
      </c>
      <c r="D21" s="14">
        <f>IF(DTD_08!D21=0,"-",DTD_09!D21/DTD_08!D21*100-100)</f>
        <v>-62.812667179895357</v>
      </c>
      <c r="E21" s="13">
        <f>IF(DTD_08!E21=0,"-",DTD_09!E21/DTD_08!E21*100-100)</f>
        <v>5.5818224327835821</v>
      </c>
      <c r="F21" s="13">
        <f>IF(DTD_08!F21=0,"-",DTD_09!F21/DTD_08!F21*100-100)</f>
        <v>12.962262924068327</v>
      </c>
      <c r="G21" s="58">
        <f>IF(DTD_08!G21=0,"-",DTD_09!G21/DTD_08!G21*100-100)</f>
        <v>5.2358771112343163</v>
      </c>
    </row>
    <row r="22" spans="1:7" ht="13.5" customHeight="1">
      <c r="A22" s="36">
        <v>6008</v>
      </c>
      <c r="B22" s="36" t="s">
        <v>85</v>
      </c>
      <c r="C22" s="13">
        <f>IF(DTD_08!C22=0,"-",DTD_09!C22/DTD_08!C22*100-100)</f>
        <v>17.09783289269096</v>
      </c>
      <c r="D22" s="14">
        <f>IF(DTD_08!D22=0,"-",DTD_09!D22/DTD_08!D22*100-100)</f>
        <v>6.6137090231816416</v>
      </c>
      <c r="E22" s="13">
        <f>IF(DTD_08!E22=0,"-",DTD_09!E22/DTD_08!E22*100-100)</f>
        <v>17.22898494298299</v>
      </c>
      <c r="F22" s="13">
        <f>IF(DTD_08!F22=0,"-",DTD_09!F22/DTD_08!F22*100-100)</f>
        <v>26.513796625253775</v>
      </c>
      <c r="G22" s="58">
        <f>IF(DTD_08!G22=0,"-",DTD_09!G22/DTD_08!G22*100-100)</f>
        <v>15.632079338196505</v>
      </c>
    </row>
    <row r="23" spans="1:7" ht="13.5" customHeight="1">
      <c r="A23" s="36">
        <v>6013</v>
      </c>
      <c r="B23" s="36" t="s">
        <v>73</v>
      </c>
      <c r="C23" s="13">
        <f>IF(DTD_08!C23=0,"-",DTD_09!C23/DTD_08!C23*100-100)</f>
        <v>114.46135665233706</v>
      </c>
      <c r="D23" s="14" t="str">
        <f>IF(DTD_08!D23=0,"-",DTD_09!D23/DTD_08!D23*100-100)</f>
        <v>-</v>
      </c>
      <c r="E23" s="13">
        <f>IF(DTD_08!E23=0,"-",DTD_09!E23/DTD_08!E23*100-100)</f>
        <v>114.46135665233706</v>
      </c>
      <c r="F23" s="13">
        <f>IF(DTD_08!F23=0,"-",DTD_09!F23/DTD_08!F23*100-100)</f>
        <v>-100</v>
      </c>
      <c r="G23" s="58">
        <f>IF(DTD_08!G23=0,"-",DTD_09!G23/DTD_08!G23*100-100)</f>
        <v>120.5231208122436</v>
      </c>
    </row>
    <row r="24" spans="1:7" ht="13.5" customHeight="1">
      <c r="A24" s="36">
        <v>6014</v>
      </c>
      <c r="B24" s="36" t="s">
        <v>74</v>
      </c>
      <c r="C24" s="13">
        <f>IF(DTD_08!C24=0,"-",DTD_09!C24/DTD_08!C24*100-100)</f>
        <v>-10.388227910319685</v>
      </c>
      <c r="D24" s="14" t="str">
        <f>IF(DTD_08!D24=0,"-",DTD_09!D24/DTD_08!D24*100-100)</f>
        <v>-</v>
      </c>
      <c r="E24" s="13">
        <f>IF(DTD_08!E24=0,"-",DTD_09!E24/DTD_08!E24*100-100)</f>
        <v>-10.388227910319685</v>
      </c>
      <c r="F24" s="13" t="str">
        <f>IF(DTD_08!F24=0,"-",DTD_09!F24/DTD_08!F24*100-100)</f>
        <v>-</v>
      </c>
      <c r="G24" s="58">
        <f>IF(DTD_08!G24=0,"-",DTD_09!G24/DTD_08!G24*100-100)</f>
        <v>-12.180912105881006</v>
      </c>
    </row>
    <row r="25" spans="1:7" ht="13.5" customHeight="1">
      <c r="A25" s="36">
        <v>6006</v>
      </c>
      <c r="B25" s="36" t="s">
        <v>51</v>
      </c>
      <c r="C25" s="13">
        <f>IF(DTD_08!C25=0,"-",DTD_09!C25/DTD_08!C25*100-100)</f>
        <v>2.8513930069414215</v>
      </c>
      <c r="D25" s="14">
        <f>IF(DTD_08!D25=0,"-",DTD_09!D25/DTD_08!D25*100-100)</f>
        <v>8.0091837103400678</v>
      </c>
      <c r="E25" s="13">
        <f>IF(DTD_08!E25=0,"-",DTD_09!E25/DTD_08!E25*100-100)</f>
        <v>2.8382249717085557</v>
      </c>
      <c r="F25" s="13">
        <f>IF(DTD_08!F25=0,"-",DTD_09!F25/DTD_08!F25*100-100)</f>
        <v>8.160808111638346</v>
      </c>
      <c r="G25" s="58">
        <f>IF(DTD_08!G25=0,"-",DTD_09!G25/DTD_08!G25*100-100)</f>
        <v>2.7329312555134635</v>
      </c>
    </row>
    <row r="26" spans="1:7" ht="13.5" customHeight="1">
      <c r="A26" s="36">
        <v>6500</v>
      </c>
      <c r="B26" s="36" t="s">
        <v>15</v>
      </c>
      <c r="C26" s="13">
        <f>IF(DTD_08!C26=0,"-",DTD_09!C26/DTD_08!C26*100-100)</f>
        <v>4.1011284265980947</v>
      </c>
      <c r="D26" s="14">
        <f>IF(DTD_08!D26=0,"-",DTD_09!D26/DTD_08!D26*100-100)</f>
        <v>-5.7779491833493779</v>
      </c>
      <c r="E26" s="13">
        <f>IF(DTD_08!E26=0,"-",DTD_09!E26/DTD_08!E26*100-100)</f>
        <v>4.1420332584941377</v>
      </c>
      <c r="F26" s="13">
        <f>IF(DTD_08!F26=0,"-",DTD_09!F26/DTD_08!F26*100-100)</f>
        <v>13.968662754409664</v>
      </c>
      <c r="G26" s="58">
        <f>IF(DTD_08!G26=0,"-",DTD_09!G26/DTD_08!G26*100-100)</f>
        <v>3.3946399802404272</v>
      </c>
    </row>
    <row r="27" spans="1:7" ht="13.5" customHeight="1">
      <c r="A27" s="36">
        <v>7002</v>
      </c>
      <c r="B27" s="36" t="s">
        <v>16</v>
      </c>
      <c r="C27" s="13">
        <f>IF(DTD_08!C27=0,"-",DTD_09!C27/DTD_08!C27*100-100)</f>
        <v>-0.68805295595822713</v>
      </c>
      <c r="D27" s="14">
        <f>IF(DTD_08!D27=0,"-",DTD_09!D27/DTD_08!D27*100-100)</f>
        <v>-93.320488118175973</v>
      </c>
      <c r="E27" s="13">
        <f>IF(DTD_08!E27=0,"-",DTD_09!E27/DTD_08!E27*100-100)</f>
        <v>-0.57330867533900687</v>
      </c>
      <c r="F27" s="13">
        <f>IF(DTD_08!F27=0,"-",DTD_09!F27/DTD_08!F27*100-100)</f>
        <v>70.595743081448347</v>
      </c>
      <c r="G27" s="58">
        <f>IF(DTD_08!G27=0,"-",DTD_09!G27/DTD_08!G27*100-100)</f>
        <v>-2.3620548186476356</v>
      </c>
    </row>
    <row r="28" spans="1:7" ht="13.5" customHeight="1">
      <c r="A28" s="36">
        <v>7003</v>
      </c>
      <c r="B28" s="36" t="s">
        <v>17</v>
      </c>
      <c r="C28" s="13">
        <f>IF(DTD_08!C28=0,"-",DTD_09!C28/DTD_08!C28*100-100)</f>
        <v>9.4378704347345916</v>
      </c>
      <c r="D28" s="14">
        <f>IF(DTD_08!D28=0,"-",DTD_09!D28/DTD_08!D28*100-100)</f>
        <v>6.9155105514280706</v>
      </c>
      <c r="E28" s="13">
        <f>IF(DTD_08!E28=0,"-",DTD_09!E28/DTD_08!E28*100-100)</f>
        <v>9.5194415518881073</v>
      </c>
      <c r="F28" s="13">
        <f>IF(DTD_08!F28=0,"-",DTD_09!F28/DTD_08!F28*100-100)</f>
        <v>23.4429155267959</v>
      </c>
      <c r="G28" s="58">
        <f>IF(DTD_08!G28=0,"-",DTD_09!G28/DTD_08!G28*100-100)</f>
        <v>7.7064943169080635</v>
      </c>
    </row>
    <row r="29" spans="1:7" ht="13.5" customHeight="1">
      <c r="A29" s="36">
        <v>7005</v>
      </c>
      <c r="B29" s="36" t="s">
        <v>18</v>
      </c>
      <c r="C29" s="13">
        <f>IF(DTD_08!C29=0,"-",DTD_09!C29/DTD_08!C29*100-100)</f>
        <v>2.8744750701927586</v>
      </c>
      <c r="D29" s="14">
        <f>IF(DTD_08!D29=0,"-",DTD_09!D29/DTD_08!D29*100-100)</f>
        <v>-3.6608863198458579</v>
      </c>
      <c r="E29" s="13">
        <f>IF(DTD_08!E29=0,"-",DTD_09!E29/DTD_08!E29*100-100)</f>
        <v>2.8878648207029727</v>
      </c>
      <c r="F29" s="13">
        <f>IF(DTD_08!F29=0,"-",DTD_09!F29/DTD_08!F29*100-100)</f>
        <v>6.5394497857547407</v>
      </c>
      <c r="G29" s="58">
        <f>IF(DTD_08!G29=0,"-",DTD_09!G29/DTD_08!G29*100-100)</f>
        <v>2.7926557311234177</v>
      </c>
    </row>
    <row r="30" spans="1:7" ht="13.5" customHeight="1">
      <c r="A30" s="36">
        <v>7026</v>
      </c>
      <c r="B30" s="36" t="s">
        <v>52</v>
      </c>
      <c r="C30" s="13">
        <f>IF(DTD_08!C30=0,"-",DTD_09!C30/DTD_08!C30*100-100)</f>
        <v>4.6583111803288944</v>
      </c>
      <c r="D30" s="14">
        <f>IF(DTD_08!D30=0,"-",DTD_09!D30/DTD_08!D30*100-100)</f>
        <v>19.975807968490301</v>
      </c>
      <c r="E30" s="13">
        <f>IF(DTD_08!E30=0,"-",DTD_09!E30/DTD_08!E30*100-100)</f>
        <v>4.2648886079150969</v>
      </c>
      <c r="F30" s="13">
        <f>IF(DTD_08!F30=0,"-",DTD_09!F30/DTD_08!F30*100-100)</f>
        <v>0.29282174840797381</v>
      </c>
      <c r="G30" s="58">
        <f>IF(DTD_08!G30=0,"-",DTD_09!G30/DTD_08!G30*100-100)</f>
        <v>4.840532833435816</v>
      </c>
    </row>
    <row r="31" spans="1:7" ht="13.5" customHeight="1">
      <c r="A31" s="36">
        <v>7601</v>
      </c>
      <c r="B31" s="36" t="s">
        <v>53</v>
      </c>
      <c r="C31" s="13">
        <f>IF(DTD_08!C31=0,"-",DTD_09!C31/DTD_08!C31*100-100)</f>
        <v>8.3516541927267411</v>
      </c>
      <c r="D31" s="14">
        <f>IF(DTD_08!D31=0,"-",DTD_09!D31/DTD_08!D31*100-100)</f>
        <v>0.5721186751000289</v>
      </c>
      <c r="E31" s="13">
        <f>IF(DTD_08!E31=0,"-",DTD_09!E31/DTD_08!E31*100-100)</f>
        <v>8.3618650733604767</v>
      </c>
      <c r="F31" s="13">
        <f>IF(DTD_08!F31=0,"-",DTD_09!F31/DTD_08!F31*100-100)</f>
        <v>6.703935851071563</v>
      </c>
      <c r="G31" s="58">
        <f>IF(DTD_08!G31=0,"-",DTD_09!G31/DTD_08!G31*100-100)</f>
        <v>8.4671967448963983</v>
      </c>
    </row>
    <row r="32" spans="1:7" ht="13.5" customHeight="1">
      <c r="A32" s="36">
        <v>7603</v>
      </c>
      <c r="B32" s="36" t="s">
        <v>19</v>
      </c>
      <c r="C32" s="13">
        <f>IF(DTD_08!C32=0,"-",DTD_09!C32/DTD_08!C32*100-100)</f>
        <v>7.6444640171873033</v>
      </c>
      <c r="D32" s="14" t="str">
        <f>IF(DTD_08!D32=0,"-",DTD_09!D32/DTD_08!D32*100-100)</f>
        <v>-</v>
      </c>
      <c r="E32" s="13">
        <f>IF(DTD_08!E32=0,"-",DTD_09!E32/DTD_08!E32*100-100)</f>
        <v>7.6444640171873033</v>
      </c>
      <c r="F32" s="13">
        <f>IF(DTD_08!F32=0,"-",DTD_09!F32/DTD_08!F32*100-100)</f>
        <v>8.5548527344566452</v>
      </c>
      <c r="G32" s="58">
        <f>IF(DTD_08!G32=0,"-",DTD_09!G32/DTD_08!G32*100-100)</f>
        <v>7.6363891732436713</v>
      </c>
    </row>
    <row r="33" spans="1:7" ht="13.5" customHeight="1">
      <c r="A33" s="36">
        <v>8001</v>
      </c>
      <c r="B33" s="36" t="s">
        <v>54</v>
      </c>
      <c r="C33" s="13">
        <f>IF(DTD_08!C33=0,"-",DTD_09!C33/DTD_08!C33*100-100)</f>
        <v>6.3213718423731109</v>
      </c>
      <c r="D33" s="14">
        <f>IF(DTD_08!D33=0,"-",DTD_09!D33/DTD_08!D33*100-100)</f>
        <v>6.7448937708965531</v>
      </c>
      <c r="E33" s="13">
        <f>IF(DTD_08!E33=0,"-",DTD_09!E33/DTD_08!E33*100-100)</f>
        <v>6.3131530031745626</v>
      </c>
      <c r="F33" s="13">
        <f>IF(DTD_08!F33=0,"-",DTD_09!F33/DTD_08!F33*100-100)</f>
        <v>14.711633638493822</v>
      </c>
      <c r="G33" s="58">
        <f>IF(DTD_08!G33=0,"-",DTD_09!G33/DTD_08!G33*100-100)</f>
        <v>5.5962208599047187</v>
      </c>
    </row>
    <row r="34" spans="1:7" ht="13.5" customHeight="1">
      <c r="A34" s="36">
        <v>8003</v>
      </c>
      <c r="B34" s="36" t="s">
        <v>20</v>
      </c>
      <c r="C34" s="13">
        <f>IF(DTD_08!C34=0,"-",DTD_09!C34/DTD_08!C34*100-100)</f>
        <v>4.1387764169848111</v>
      </c>
      <c r="D34" s="14" t="str">
        <f>IF(DTD_08!D34=0,"-",DTD_09!D34/DTD_08!D34*100-100)</f>
        <v>-</v>
      </c>
      <c r="E34" s="13">
        <f>IF(DTD_08!E34=0,"-",DTD_09!E34/DTD_08!E34*100-100)</f>
        <v>4.1387764169848111</v>
      </c>
      <c r="F34" s="13">
        <f>IF(DTD_08!F34=0,"-",DTD_09!F34/DTD_08!F34*100-100)</f>
        <v>17.050867179685511</v>
      </c>
      <c r="G34" s="58">
        <f>IF(DTD_08!G34=0,"-",DTD_09!G34/DTD_08!G34*100-100)</f>
        <v>3.6400295584718521</v>
      </c>
    </row>
    <row r="35" spans="1:7" ht="13.5" customHeight="1">
      <c r="A35" s="36">
        <v>8005</v>
      </c>
      <c r="B35" s="36" t="s">
        <v>21</v>
      </c>
      <c r="C35" s="13">
        <f>IF(DTD_08!C35=0,"-",DTD_09!C35/DTD_08!C35*100-100)</f>
        <v>7.5169211297957332</v>
      </c>
      <c r="D35" s="14" t="str">
        <f>IF(DTD_08!D35=0,"-",DTD_09!D35/DTD_08!D35*100-100)</f>
        <v>-</v>
      </c>
      <c r="E35" s="13">
        <f>IF(DTD_08!E35=0,"-",DTD_09!E35/DTD_08!E35*100-100)</f>
        <v>7.5169211297957332</v>
      </c>
      <c r="F35" s="13">
        <f>IF(DTD_08!F35=0,"-",DTD_09!F35/DTD_08!F35*100-100)</f>
        <v>1.4147338262041131</v>
      </c>
      <c r="G35" s="58">
        <f>IF(DTD_08!G35=0,"-",DTD_09!G35/DTD_08!G35*100-100)</f>
        <v>7.5379734421840254</v>
      </c>
    </row>
    <row r="36" spans="1:7" ht="13.5" customHeight="1">
      <c r="A36" s="39">
        <v>8040</v>
      </c>
      <c r="B36" s="36" t="s">
        <v>55</v>
      </c>
      <c r="C36" s="13">
        <f>IF(DTD_08!C36=0,"-",DTD_09!C36/DTD_08!C36*100-100)</f>
        <v>5.155318636776002</v>
      </c>
      <c r="D36" s="14">
        <f>IF(DTD_08!D36=0,"-",DTD_09!D36/DTD_08!D36*100-100)</f>
        <v>0.25882332766200022</v>
      </c>
      <c r="E36" s="13">
        <f>IF(DTD_08!E36=0,"-",DTD_09!E36/DTD_08!E36*100-100)</f>
        <v>5.1850966491409451</v>
      </c>
      <c r="F36" s="13">
        <f>IF(DTD_08!F36=0,"-",DTD_09!F36/DTD_08!F36*100-100)</f>
        <v>-3.32228605415294</v>
      </c>
      <c r="G36" s="58">
        <f>IF(DTD_08!G36=0,"-",DTD_09!G36/DTD_08!G36*100-100)</f>
        <v>5.1913084937611274</v>
      </c>
    </row>
    <row r="37" spans="1:7" ht="13.5" customHeight="1">
      <c r="A37" s="74"/>
      <c r="B37" s="41" t="s">
        <v>30</v>
      </c>
      <c r="C37" s="64">
        <f>IF(DTD_08!C37=0,"-",DTD_09!C37/DTD_08!C37*100-100)</f>
        <v>5.6464887691150238</v>
      </c>
      <c r="D37" s="64">
        <f>IF(DTD_08!D37=0,"-",DTD_09!D37/DTD_08!D37*100-100)</f>
        <v>7.0971434595170706</v>
      </c>
      <c r="E37" s="64">
        <f>IF(DTD_08!E37=0,"-",DTD_09!E37/DTD_08!E37*100-100)</f>
        <v>5.6276436910446677</v>
      </c>
      <c r="F37" s="64">
        <f>IF(DTD_08!F37=0,"-",DTD_09!F37/DTD_08!F37*100-100)</f>
        <v>15.266325140950741</v>
      </c>
      <c r="G37" s="65">
        <f>IF(DTD_08!G37=0,"-",DTD_09!G37/DTD_08!G37*100-100)</f>
        <v>4.8622796871203633</v>
      </c>
    </row>
    <row r="38" spans="1:7" ht="13.5" customHeight="1"/>
    <row r="39" spans="1:7" ht="13.5" customHeight="1">
      <c r="B39" s="26" t="s">
        <v>44</v>
      </c>
      <c r="C39" s="59">
        <f>IF(DTD_08!C39=0,"-",DTD_09!C39/DTD_08!C39*100-100)</f>
        <v>6.3484166010084948</v>
      </c>
      <c r="D39" s="59">
        <f>IF(DTD_08!D39=0,"-",DTD_09!D39/DTD_08!D39*100-100)</f>
        <v>1.1063974935836285</v>
      </c>
      <c r="E39" s="59">
        <f>IF(DTD_08!E39=0,"-",DTD_09!E39/DTD_08!E39*100-100)</f>
        <v>6.4478370736430719</v>
      </c>
      <c r="F39" s="59">
        <f>IF(DTD_08!F39=0,"-",DTD_09!F39/DTD_08!F39*100-100)</f>
        <v>15.418496833150712</v>
      </c>
      <c r="G39" s="67">
        <f>IF(DTD_08!G39=0,"-",DTD_09!G39/DTD_08!G39*100-100)</f>
        <v>5.6197494593021275</v>
      </c>
    </row>
    <row r="40" spans="1:7" ht="13.5" customHeight="1">
      <c r="B40" s="19" t="s">
        <v>45</v>
      </c>
      <c r="C40" s="60">
        <f>IF(DTD_08!C40=0,"-",DTD_09!C40/DTD_08!C40*100-100)</f>
        <v>5.0892520101555476</v>
      </c>
      <c r="D40" s="60">
        <f>IF(DTD_08!D40=0,"-",DTD_09!D40/DTD_08!D40*100-100)</f>
        <v>142.83191118451231</v>
      </c>
      <c r="E40" s="60">
        <f>IF(DTD_08!E40=0,"-",DTD_09!E40/DTD_08!E40*100-100)</f>
        <v>4.7094549873554854</v>
      </c>
      <c r="F40" s="60">
        <f>IF(DTD_08!F40=0,"-",DTD_09!F40/DTD_08!F40*100-100)</f>
        <v>18.612558590287136</v>
      </c>
      <c r="G40" s="68">
        <f>IF(DTD_08!G40=0,"-",DTD_09!G40/DTD_08!G40*100-100)</f>
        <v>3.9753398711773116</v>
      </c>
    </row>
    <row r="41" spans="1:7" ht="13.5" customHeight="1">
      <c r="B41" s="19" t="s">
        <v>46</v>
      </c>
      <c r="C41" s="60">
        <f>IF(DTD_08!C41=0,"-",DTD_09!C41/DTD_08!C41*100-100)</f>
        <v>4.4035581445432541</v>
      </c>
      <c r="D41" s="60">
        <f>IF(DTD_08!D41=0,"-",DTD_09!D41/DTD_08!D41*100-100)</f>
        <v>-1.6894333071829948</v>
      </c>
      <c r="E41" s="60">
        <f>IF(DTD_08!E41=0,"-",DTD_09!E41/DTD_08!E41*100-100)</f>
        <v>4.4449038519476858</v>
      </c>
      <c r="F41" s="60">
        <f>IF(DTD_08!F41=0,"-",DTD_09!F41/DTD_08!F41*100-100)</f>
        <v>14.762523301817197</v>
      </c>
      <c r="G41" s="68">
        <f>IF(DTD_08!G41=0,"-",DTD_09!G41/DTD_08!G41*100-100)</f>
        <v>3.6684371024937548</v>
      </c>
    </row>
    <row r="42" spans="1:7" ht="13.5" customHeight="1">
      <c r="B42" s="19" t="s">
        <v>47</v>
      </c>
      <c r="C42" s="60">
        <f>IF(DTD_08!C42=0,"-",DTD_09!C42/DTD_08!C42*100-100)</f>
        <v>5.833032986052018</v>
      </c>
      <c r="D42" s="60">
        <f>IF(DTD_08!D42=0,"-",DTD_09!D42/DTD_08!D42*100-100)</f>
        <v>9.4239722384180027</v>
      </c>
      <c r="E42" s="60">
        <f>IF(DTD_08!E42=0,"-",DTD_09!E42/DTD_08!E42*100-100)</f>
        <v>5.7779107877859133</v>
      </c>
      <c r="F42" s="60">
        <f>IF(DTD_08!F42=0,"-",DTD_09!F42/DTD_08!F42*100-100)</f>
        <v>14.378035701622949</v>
      </c>
      <c r="G42" s="68">
        <f>IF(DTD_08!G42=0,"-",DTD_09!G42/DTD_08!G42*100-100)</f>
        <v>5.017960353943991</v>
      </c>
    </row>
    <row r="43" spans="1:7" ht="13.5" customHeight="1">
      <c r="B43" s="20" t="s">
        <v>48</v>
      </c>
      <c r="C43" s="61">
        <f>IF(DTD_08!C43=0,"-",DTD_09!C43/DTD_08!C43*100-100)</f>
        <v>6.0010745908595169</v>
      </c>
      <c r="D43" s="61">
        <f>IF(DTD_08!D43=0,"-",DTD_09!D43/DTD_08!D43*100-100)</f>
        <v>6.3980144234351712</v>
      </c>
      <c r="E43" s="61">
        <f>IF(DTD_08!E43=0,"-",DTD_09!E43/DTD_08!E43*100-100)</f>
        <v>5.9962412667390339</v>
      </c>
      <c r="F43" s="61">
        <f>IF(DTD_08!F43=0,"-",DTD_09!F43/DTD_08!F43*100-100)</f>
        <v>14.831698228037411</v>
      </c>
      <c r="G43" s="69">
        <f>IF(DTD_08!G43=0,"-",DTD_09!G43/DTD_08!G43*100-100)</f>
        <v>5.4924990047807114</v>
      </c>
    </row>
    <row r="44" spans="1:7" ht="13.5" customHeight="1">
      <c r="B44" s="16" t="s">
        <v>30</v>
      </c>
      <c r="C44" s="62">
        <f>IF(DTD_08!C44=0,"-",DTD_09!C44/DTD_08!C44*100-100)</f>
        <v>5.6464887691150238</v>
      </c>
      <c r="D44" s="62">
        <f>IF(DTD_08!D44=0,"-",DTD_09!D44/DTD_08!D44*100-100)</f>
        <v>7.0971434595170706</v>
      </c>
      <c r="E44" s="62">
        <f>IF(DTD_08!E44=0,"-",DTD_09!E44/DTD_08!E44*100-100)</f>
        <v>5.6276436910446677</v>
      </c>
      <c r="F44" s="62">
        <f>IF(DTD_08!F44=0,"-",DTD_09!F44/DTD_08!F44*100-100)</f>
        <v>15.266325140950698</v>
      </c>
      <c r="G44" s="63">
        <f>IF(DTD_08!G44=0,"-",DTD_09!G44/DTD_08!G44*100-100)</f>
        <v>4.8622796871203633</v>
      </c>
    </row>
    <row r="45" spans="1:7" ht="13.5" customHeight="1"/>
    <row r="46" spans="1:7" ht="13.5" customHeight="1"/>
    <row r="47" spans="1:7" ht="13.5" customHeight="1"/>
    <row r="48" spans="1:7" ht="13.5" customHeight="1"/>
    <row r="49" ht="13.5" customHeight="1"/>
    <row r="50" ht="13.5" customHeight="1"/>
    <row r="51" ht="13.5" customHeight="1"/>
    <row r="52" ht="13.5" customHeight="1"/>
  </sheetData>
  <phoneticPr fontId="12" type="noConversion"/>
  <pageMargins left="0.52" right="0.43" top="0.52" bottom="0.19" header="0.23" footer="0.25"/>
  <pageSetup paperSize="9" scale="86" orientation="landscape" r:id="rId1"/>
  <headerFooter alignWithMargins="0">
    <oddHeader>&amp;CSide &amp;P /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52"/>
  <sheetViews>
    <sheetView zoomScaleNormal="100" zoomScaleSheetLayoutView="100" workbookViewId="0">
      <selection activeCell="F47" sqref="F47"/>
    </sheetView>
  </sheetViews>
  <sheetFormatPr defaultColWidth="8.85546875" defaultRowHeight="12"/>
  <cols>
    <col min="1" max="1" width="8.5703125" style="1" customWidth="1"/>
    <col min="2" max="2" width="39.28515625" style="1" customWidth="1"/>
    <col min="3" max="8" width="12.85546875" style="1" customWidth="1"/>
    <col min="9" max="9" width="8.85546875" style="1"/>
    <col min="10" max="10" width="11.28515625" style="1" customWidth="1"/>
    <col min="11" max="16384" width="8.85546875" style="1"/>
  </cols>
  <sheetData>
    <row r="1" spans="1:10" ht="15.75">
      <c r="A1" s="8" t="str">
        <f>'Skema1-7_2008'!A1</f>
        <v>Bilag E til Løbende Offentliggørelse af Produktivitet i Sygehussektoren, 2008-2009. December 2010</v>
      </c>
    </row>
    <row r="2" spans="1:10" ht="13.5" customHeight="1">
      <c r="A2" s="28" t="s">
        <v>76</v>
      </c>
    </row>
    <row r="3" spans="1:10" ht="13.5" customHeight="1">
      <c r="A3" s="25" t="s">
        <v>63</v>
      </c>
    </row>
    <row r="4" spans="1:10" ht="54" customHeight="1">
      <c r="A4" s="72" t="s">
        <v>22</v>
      </c>
      <c r="B4" s="72" t="s">
        <v>0</v>
      </c>
      <c r="C4" s="12" t="s">
        <v>41</v>
      </c>
      <c r="D4" s="12" t="s">
        <v>40</v>
      </c>
      <c r="E4" s="12" t="s">
        <v>58</v>
      </c>
      <c r="F4" s="12" t="s">
        <v>37</v>
      </c>
      <c r="G4" s="12" t="s">
        <v>42</v>
      </c>
      <c r="H4" s="12" t="s">
        <v>49</v>
      </c>
      <c r="J4" s="12" t="s">
        <v>97</v>
      </c>
    </row>
    <row r="5" spans="1:10" ht="13.5" customHeight="1">
      <c r="A5" s="36">
        <v>1301</v>
      </c>
      <c r="B5" s="36" t="s">
        <v>1</v>
      </c>
      <c r="C5" s="37">
        <v>3186334.8580000498</v>
      </c>
      <c r="D5" s="37">
        <v>1732206.4289967155</v>
      </c>
      <c r="E5" s="37">
        <f>C5+D5</f>
        <v>4918541.2869967651</v>
      </c>
      <c r="F5" s="37">
        <v>411309.79799984064</v>
      </c>
      <c r="G5" s="37">
        <v>-24530.590170579497</v>
      </c>
      <c r="H5" s="37">
        <f>C5+D5-F5-G5</f>
        <v>4531762.0791675039</v>
      </c>
      <c r="J5" s="37"/>
    </row>
    <row r="6" spans="1:10" ht="13.5" customHeight="1">
      <c r="A6" s="36">
        <v>1309</v>
      </c>
      <c r="B6" s="36" t="s">
        <v>2</v>
      </c>
      <c r="C6" s="37">
        <v>881078.03300000378</v>
      </c>
      <c r="D6" s="37">
        <v>500922.45399972581</v>
      </c>
      <c r="E6" s="37">
        <f t="shared" ref="E6:E37" si="0">C6+D6</f>
        <v>1382000.4869997296</v>
      </c>
      <c r="F6" s="37">
        <v>37965.479999998577</v>
      </c>
      <c r="G6" s="37">
        <v>-7564.4607682023197</v>
      </c>
      <c r="H6" s="37">
        <f t="shared" ref="H6:H36" si="1">C6+D6-F6-G6</f>
        <v>1351599.4677679334</v>
      </c>
      <c r="J6" s="37"/>
    </row>
    <row r="7" spans="1:10" ht="13.5" customHeight="1">
      <c r="A7" s="36">
        <v>1330</v>
      </c>
      <c r="B7" s="36" t="s">
        <v>3</v>
      </c>
      <c r="C7" s="37">
        <v>1261246.5659999889</v>
      </c>
      <c r="D7" s="37">
        <v>569174.42400008242</v>
      </c>
      <c r="E7" s="37">
        <f t="shared" si="0"/>
        <v>1830420.9900000715</v>
      </c>
      <c r="F7" s="37">
        <v>52106.706000005972</v>
      </c>
      <c r="G7" s="37">
        <v>-13331.104866634589</v>
      </c>
      <c r="H7" s="37">
        <f t="shared" si="1"/>
        <v>1791645.3888667</v>
      </c>
      <c r="J7" s="37"/>
    </row>
    <row r="8" spans="1:10" ht="13.5" customHeight="1">
      <c r="A8" s="36">
        <v>1351</v>
      </c>
      <c r="B8" s="36" t="s">
        <v>4</v>
      </c>
      <c r="C8" s="37">
        <v>370999.47799999156</v>
      </c>
      <c r="D8" s="37">
        <v>113031.25999995804</v>
      </c>
      <c r="E8" s="37">
        <f t="shared" si="0"/>
        <v>484030.7379999496</v>
      </c>
      <c r="F8" s="37">
        <v>1127.9530000000016</v>
      </c>
      <c r="G8" s="37">
        <v>-3460.4790230034268</v>
      </c>
      <c r="H8" s="37">
        <f t="shared" si="1"/>
        <v>486363.26402295305</v>
      </c>
      <c r="J8" s="37"/>
    </row>
    <row r="9" spans="1:10" ht="13.5" customHeight="1">
      <c r="A9" s="36">
        <v>1401</v>
      </c>
      <c r="B9" s="36" t="s">
        <v>5</v>
      </c>
      <c r="C9" s="37">
        <v>381681.92499998707</v>
      </c>
      <c r="D9" s="37">
        <v>230697.21299981486</v>
      </c>
      <c r="E9" s="37">
        <f t="shared" si="0"/>
        <v>612379.1379998019</v>
      </c>
      <c r="F9" s="37">
        <v>7752.5869999999168</v>
      </c>
      <c r="G9" s="37">
        <v>-3576.4453687728383</v>
      </c>
      <c r="H9" s="37">
        <f t="shared" si="1"/>
        <v>608202.99636857479</v>
      </c>
      <c r="J9" s="37"/>
    </row>
    <row r="10" spans="1:10" ht="13.5" customHeight="1">
      <c r="A10" s="36">
        <v>1501</v>
      </c>
      <c r="B10" s="36" t="s">
        <v>6</v>
      </c>
      <c r="C10" s="37">
        <v>730118.88699999533</v>
      </c>
      <c r="D10" s="37">
        <v>455542.2809999797</v>
      </c>
      <c r="E10" s="37">
        <f t="shared" si="0"/>
        <v>1185661.1679999749</v>
      </c>
      <c r="F10" s="37">
        <v>36314.886999999828</v>
      </c>
      <c r="G10" s="37">
        <v>-13585.115382749238</v>
      </c>
      <c r="H10" s="37">
        <f t="shared" si="1"/>
        <v>1162931.3963827244</v>
      </c>
      <c r="J10" s="37"/>
    </row>
    <row r="11" spans="1:10" ht="13.5" customHeight="1">
      <c r="A11" s="36">
        <v>1502</v>
      </c>
      <c r="B11" s="36" t="s">
        <v>7</v>
      </c>
      <c r="C11" s="37">
        <v>841470.46000003628</v>
      </c>
      <c r="D11" s="37">
        <v>545225.59999975027</v>
      </c>
      <c r="E11" s="37">
        <f t="shared" si="0"/>
        <v>1386696.0599997866</v>
      </c>
      <c r="F11" s="37">
        <v>31271.175000000239</v>
      </c>
      <c r="G11" s="37">
        <v>-10279.097744854167</v>
      </c>
      <c r="H11" s="37">
        <f t="shared" si="1"/>
        <v>1365703.9827446404</v>
      </c>
      <c r="J11" s="37"/>
    </row>
    <row r="12" spans="1:10" ht="13.5" customHeight="1">
      <c r="A12" s="36">
        <v>1516</v>
      </c>
      <c r="B12" s="36" t="s">
        <v>8</v>
      </c>
      <c r="C12" s="37">
        <v>1276798.4359999781</v>
      </c>
      <c r="D12" s="37">
        <v>1319065.6470000758</v>
      </c>
      <c r="E12" s="37">
        <f t="shared" si="0"/>
        <v>2595864.0830000537</v>
      </c>
      <c r="F12" s="37">
        <v>400746.4999998901</v>
      </c>
      <c r="G12" s="37">
        <v>-9255.9534126000945</v>
      </c>
      <c r="H12" s="37">
        <f t="shared" si="1"/>
        <v>2204373.5364127634</v>
      </c>
      <c r="J12" s="37"/>
    </row>
    <row r="13" spans="1:10" ht="13.5" customHeight="1">
      <c r="A13" s="36">
        <v>2000</v>
      </c>
      <c r="B13" s="36" t="s">
        <v>9</v>
      </c>
      <c r="C13" s="37">
        <v>1547124.2229998996</v>
      </c>
      <c r="D13" s="37">
        <v>762033.1430008451</v>
      </c>
      <c r="E13" s="37">
        <f t="shared" si="0"/>
        <v>2309157.3660007445</v>
      </c>
      <c r="F13" s="37">
        <v>116766.3360000122</v>
      </c>
      <c r="G13" s="37">
        <v>-14282.455284995493</v>
      </c>
      <c r="H13" s="37">
        <f t="shared" si="1"/>
        <v>2206673.4852857278</v>
      </c>
      <c r="J13" s="37"/>
    </row>
    <row r="14" spans="1:10" ht="13.5" customHeight="1">
      <c r="A14" s="36">
        <v>4001</v>
      </c>
      <c r="B14" s="36" t="s">
        <v>11</v>
      </c>
      <c r="C14" s="37">
        <v>154647.44900000087</v>
      </c>
      <c r="D14" s="37">
        <v>98516.970999987767</v>
      </c>
      <c r="E14" s="37">
        <f t="shared" si="0"/>
        <v>253164.41999998863</v>
      </c>
      <c r="F14" s="37">
        <v>8933.310000000014</v>
      </c>
      <c r="G14" s="37">
        <v>-1339.2800454605895</v>
      </c>
      <c r="H14" s="37">
        <f t="shared" si="1"/>
        <v>245570.3900454492</v>
      </c>
      <c r="J14" s="37"/>
    </row>
    <row r="15" spans="1:10" ht="13.5" customHeight="1">
      <c r="A15" s="36">
        <v>2500</v>
      </c>
      <c r="B15" s="36" t="s">
        <v>10</v>
      </c>
      <c r="C15" s="38">
        <v>1861615.1039998694</v>
      </c>
      <c r="D15" s="38">
        <v>1123669.0420026993</v>
      </c>
      <c r="E15" s="38">
        <f t="shared" si="0"/>
        <v>2985284.1460025688</v>
      </c>
      <c r="F15" s="38">
        <v>192178.5719999983</v>
      </c>
      <c r="G15" s="38">
        <v>-3336.3198501367588</v>
      </c>
      <c r="H15" s="38">
        <f t="shared" si="1"/>
        <v>2796441.893852707</v>
      </c>
      <c r="J15" s="38"/>
    </row>
    <row r="16" spans="1:10" ht="13.5" customHeight="1">
      <c r="A16" s="36">
        <v>2501</v>
      </c>
      <c r="B16" s="36" t="s">
        <v>56</v>
      </c>
      <c r="C16" s="38">
        <v>1938423.4779998155</v>
      </c>
      <c r="D16" s="38">
        <v>1233781.5040006884</v>
      </c>
      <c r="E16" s="38">
        <f t="shared" si="0"/>
        <v>3172204.9820005037</v>
      </c>
      <c r="F16" s="38">
        <v>196974.72399999143</v>
      </c>
      <c r="G16" s="38">
        <v>15571.633910213597</v>
      </c>
      <c r="H16" s="38">
        <f t="shared" si="1"/>
        <v>2959658.6240902985</v>
      </c>
      <c r="J16" s="38"/>
    </row>
    <row r="17" spans="1:10" ht="13.5" customHeight="1">
      <c r="A17" s="36">
        <v>4202</v>
      </c>
      <c r="B17" s="36" t="s">
        <v>12</v>
      </c>
      <c r="C17" s="37">
        <v>2309868.9410000318</v>
      </c>
      <c r="D17" s="37">
        <v>1648058.8010002822</v>
      </c>
      <c r="E17" s="37">
        <f t="shared" si="0"/>
        <v>3957927.7420003139</v>
      </c>
      <c r="F17" s="37">
        <v>337270.77999994939</v>
      </c>
      <c r="G17" s="37">
        <v>4030.8895228547044</v>
      </c>
      <c r="H17" s="37">
        <f t="shared" si="1"/>
        <v>3616626.0724775097</v>
      </c>
      <c r="J17" s="37"/>
    </row>
    <row r="18" spans="1:10" ht="13.5" customHeight="1">
      <c r="A18" s="36">
        <v>4212</v>
      </c>
      <c r="B18" s="36" t="s">
        <v>50</v>
      </c>
      <c r="C18" s="37">
        <v>695407.18100002094</v>
      </c>
      <c r="D18" s="37">
        <v>400744.86600019044</v>
      </c>
      <c r="E18" s="37">
        <f t="shared" si="0"/>
        <v>1096152.0470002114</v>
      </c>
      <c r="F18" s="37">
        <v>9331.3999999999887</v>
      </c>
      <c r="G18" s="37">
        <v>25920.370965004084</v>
      </c>
      <c r="H18" s="37">
        <f t="shared" si="1"/>
        <v>1060900.2760352073</v>
      </c>
      <c r="J18" s="37"/>
    </row>
    <row r="19" spans="1:10" ht="13.5" customHeight="1">
      <c r="A19" s="36">
        <v>5000</v>
      </c>
      <c r="B19" s="36" t="s">
        <v>57</v>
      </c>
      <c r="C19" s="37">
        <v>951275.78400007694</v>
      </c>
      <c r="D19" s="37">
        <v>687171.12400067353</v>
      </c>
      <c r="E19" s="37">
        <f t="shared" si="0"/>
        <v>1638446.9080007505</v>
      </c>
      <c r="F19" s="37">
        <v>58817.67699999969</v>
      </c>
      <c r="G19" s="37">
        <v>25708.615129817743</v>
      </c>
      <c r="H19" s="37">
        <f t="shared" si="1"/>
        <v>1553920.615870933</v>
      </c>
      <c r="J19" s="37"/>
    </row>
    <row r="20" spans="1:10" ht="13.5" customHeight="1">
      <c r="A20" s="36">
        <v>5501</v>
      </c>
      <c r="B20" s="36" t="s">
        <v>13</v>
      </c>
      <c r="C20" s="37">
        <v>985572.54700006766</v>
      </c>
      <c r="D20" s="37">
        <v>663951.5950003491</v>
      </c>
      <c r="E20" s="37">
        <f t="shared" si="0"/>
        <v>1649524.1420004168</v>
      </c>
      <c r="F20" s="37">
        <v>105339.94700000617</v>
      </c>
      <c r="G20" s="37">
        <v>-8584.7640883694403</v>
      </c>
      <c r="H20" s="37">
        <f t="shared" si="1"/>
        <v>1552768.95908878</v>
      </c>
      <c r="J20" s="37"/>
    </row>
    <row r="21" spans="1:10" ht="13.5" customHeight="1">
      <c r="A21" s="36">
        <v>6007</v>
      </c>
      <c r="B21" s="36" t="s">
        <v>14</v>
      </c>
      <c r="C21" s="37">
        <v>809663.82500002533</v>
      </c>
      <c r="D21" s="37">
        <v>438621.4009996524</v>
      </c>
      <c r="E21" s="37">
        <f t="shared" si="0"/>
        <v>1248285.2259996778</v>
      </c>
      <c r="F21" s="37">
        <v>22361.856000000469</v>
      </c>
      <c r="G21" s="37">
        <v>-7065.6074554638471</v>
      </c>
      <c r="H21" s="37">
        <f t="shared" si="1"/>
        <v>1232988.9774551413</v>
      </c>
      <c r="J21" s="37"/>
    </row>
    <row r="22" spans="1:10" ht="13.5" customHeight="1">
      <c r="A22" s="36">
        <v>6008</v>
      </c>
      <c r="B22" s="36" t="s">
        <v>85</v>
      </c>
      <c r="C22" s="37">
        <v>621790.14199997415</v>
      </c>
      <c r="D22" s="37">
        <v>868128.99300089676</v>
      </c>
      <c r="E22" s="37">
        <f t="shared" si="0"/>
        <v>1489919.135000871</v>
      </c>
      <c r="F22" s="37">
        <v>236410.55699998059</v>
      </c>
      <c r="G22" s="37">
        <v>15911.834394410951</v>
      </c>
      <c r="H22" s="37">
        <f t="shared" si="1"/>
        <v>1237596.7436064796</v>
      </c>
      <c r="J22" s="37"/>
    </row>
    <row r="23" spans="1:10" ht="13.5" customHeight="1">
      <c r="A23" s="36">
        <v>6013</v>
      </c>
      <c r="B23" s="36" t="s">
        <v>73</v>
      </c>
      <c r="C23" s="37">
        <v>30147.000000000236</v>
      </c>
      <c r="D23" s="37">
        <v>22880.782000000087</v>
      </c>
      <c r="E23" s="37">
        <f t="shared" si="0"/>
        <v>53027.782000000327</v>
      </c>
      <c r="F23" s="37">
        <v>0</v>
      </c>
      <c r="G23" s="37">
        <v>-257.17396819753776</v>
      </c>
      <c r="H23" s="37">
        <f t="shared" si="1"/>
        <v>53284.955968197864</v>
      </c>
      <c r="J23" s="37"/>
    </row>
    <row r="24" spans="1:10" ht="13.5" customHeight="1">
      <c r="A24" s="36">
        <v>6014</v>
      </c>
      <c r="B24" s="36" t="s">
        <v>74</v>
      </c>
      <c r="C24" s="37">
        <v>0</v>
      </c>
      <c r="D24" s="37">
        <v>66540.503999999157</v>
      </c>
      <c r="E24" s="37">
        <f t="shared" si="0"/>
        <v>66540.503999999157</v>
      </c>
      <c r="F24" s="37">
        <v>0</v>
      </c>
      <c r="G24" s="37"/>
      <c r="H24" s="37">
        <f t="shared" si="1"/>
        <v>66540.503999999157</v>
      </c>
      <c r="J24" s="37"/>
    </row>
    <row r="25" spans="1:10" ht="13.5" customHeight="1">
      <c r="A25" s="36">
        <v>6006</v>
      </c>
      <c r="B25" s="36" t="s">
        <v>51</v>
      </c>
      <c r="C25" s="37">
        <v>513705.70899996592</v>
      </c>
      <c r="D25" s="37">
        <v>342240.12100000738</v>
      </c>
      <c r="E25" s="37">
        <f t="shared" si="0"/>
        <v>855945.8299999733</v>
      </c>
      <c r="F25" s="37">
        <v>7854.4919999999474</v>
      </c>
      <c r="G25" s="37">
        <v>-4436.665508854494</v>
      </c>
      <c r="H25" s="37">
        <f t="shared" si="1"/>
        <v>852528.00350882788</v>
      </c>
      <c r="J25" s="37"/>
    </row>
    <row r="26" spans="1:10" ht="13.5" customHeight="1">
      <c r="A26" s="36">
        <v>6500</v>
      </c>
      <c r="B26" s="36" t="s">
        <v>15</v>
      </c>
      <c r="C26" s="37">
        <v>1153065.3630000367</v>
      </c>
      <c r="D26" s="37">
        <v>737565.12700100767</v>
      </c>
      <c r="E26" s="37">
        <f t="shared" si="0"/>
        <v>1890630.4900010442</v>
      </c>
      <c r="F26" s="37">
        <v>115585.57400000632</v>
      </c>
      <c r="G26" s="37">
        <v>37341.440810573986</v>
      </c>
      <c r="H26" s="37">
        <f t="shared" si="1"/>
        <v>1737703.4751904639</v>
      </c>
      <c r="J26" s="37"/>
    </row>
    <row r="27" spans="1:10" ht="13.5" customHeight="1">
      <c r="A27" s="36">
        <v>7002</v>
      </c>
      <c r="B27" s="36" t="s">
        <v>16</v>
      </c>
      <c r="C27" s="37">
        <v>422354.51999998244</v>
      </c>
      <c r="D27" s="37">
        <v>244666.66799993583</v>
      </c>
      <c r="E27" s="37">
        <f t="shared" si="0"/>
        <v>667021.18799991824</v>
      </c>
      <c r="F27" s="37">
        <v>27767.188000000115</v>
      </c>
      <c r="G27" s="37">
        <v>-3676.6224898616783</v>
      </c>
      <c r="H27" s="37">
        <f t="shared" si="1"/>
        <v>642930.62248977984</v>
      </c>
      <c r="J27" s="37"/>
    </row>
    <row r="28" spans="1:10" ht="13.5" customHeight="1">
      <c r="A28" s="36">
        <v>7003</v>
      </c>
      <c r="B28" s="36" t="s">
        <v>17</v>
      </c>
      <c r="C28" s="37">
        <v>1853722.7489999873</v>
      </c>
      <c r="D28" s="37">
        <v>1456055.7840021553</v>
      </c>
      <c r="E28" s="37">
        <f t="shared" si="0"/>
        <v>3309778.5330021428</v>
      </c>
      <c r="F28" s="37">
        <v>376055.26399996551</v>
      </c>
      <c r="G28" s="37">
        <v>42778.563922468573</v>
      </c>
      <c r="H28" s="37">
        <f t="shared" si="1"/>
        <v>2890944.7050797087</v>
      </c>
      <c r="J28" s="37"/>
    </row>
    <row r="29" spans="1:10" ht="13.5" customHeight="1">
      <c r="A29" s="36">
        <v>7005</v>
      </c>
      <c r="B29" s="36" t="s">
        <v>18</v>
      </c>
      <c r="C29" s="37">
        <v>675631.51099999982</v>
      </c>
      <c r="D29" s="37">
        <v>439799.8390006214</v>
      </c>
      <c r="E29" s="37">
        <f t="shared" si="0"/>
        <v>1115431.3500006213</v>
      </c>
      <c r="F29" s="37">
        <v>16546.354000000374</v>
      </c>
      <c r="G29" s="37">
        <v>7652.5076595445862</v>
      </c>
      <c r="H29" s="37">
        <f t="shared" si="1"/>
        <v>1091232.4883410763</v>
      </c>
      <c r="J29" s="37"/>
    </row>
    <row r="30" spans="1:10" ht="13.5" customHeight="1">
      <c r="A30" s="36">
        <v>7026</v>
      </c>
      <c r="B30" s="36" t="s">
        <v>52</v>
      </c>
      <c r="C30" s="38">
        <v>1307064.3419999832</v>
      </c>
      <c r="D30" s="38">
        <v>411638.81199995137</v>
      </c>
      <c r="E30" s="38">
        <f t="shared" si="0"/>
        <v>1718703.1539999344</v>
      </c>
      <c r="F30" s="38">
        <v>36085.740000000726</v>
      </c>
      <c r="G30" s="38">
        <v>-11471.647043741308</v>
      </c>
      <c r="H30" s="38">
        <f t="shared" si="1"/>
        <v>1694089.0610436751</v>
      </c>
      <c r="J30" s="38"/>
    </row>
    <row r="31" spans="1:10" ht="13.5" customHeight="1">
      <c r="A31" s="36">
        <v>7601</v>
      </c>
      <c r="B31" s="36" t="s">
        <v>53</v>
      </c>
      <c r="C31" s="38">
        <v>938367.46500006376</v>
      </c>
      <c r="D31" s="38">
        <v>584986.22200010391</v>
      </c>
      <c r="E31" s="38">
        <f t="shared" si="0"/>
        <v>1523353.6870001676</v>
      </c>
      <c r="F31" s="38">
        <v>109112.91900000148</v>
      </c>
      <c r="G31" s="38">
        <v>-8194.9087599203922</v>
      </c>
      <c r="H31" s="38">
        <f t="shared" si="1"/>
        <v>1422435.6767600866</v>
      </c>
      <c r="J31" s="38"/>
    </row>
    <row r="32" spans="1:10" ht="13.5" customHeight="1">
      <c r="A32" s="36">
        <v>7603</v>
      </c>
      <c r="B32" s="36" t="s">
        <v>19</v>
      </c>
      <c r="C32" s="38">
        <v>257872.05300000435</v>
      </c>
      <c r="D32" s="38">
        <v>125510.11300001637</v>
      </c>
      <c r="E32" s="38">
        <f t="shared" si="0"/>
        <v>383382.16600002069</v>
      </c>
      <c r="F32" s="38">
        <v>525.85199999999998</v>
      </c>
      <c r="G32" s="38">
        <v>-2252.6586063911382</v>
      </c>
      <c r="H32" s="38">
        <f t="shared" si="1"/>
        <v>385108.97260641179</v>
      </c>
      <c r="J32" s="38"/>
    </row>
    <row r="33" spans="1:10" ht="13.5" customHeight="1">
      <c r="A33" s="36">
        <v>8001</v>
      </c>
      <c r="B33" s="36" t="s">
        <v>54</v>
      </c>
      <c r="C33" s="38">
        <v>1671863.962000014</v>
      </c>
      <c r="D33" s="188">
        <f>1128345.82800153+J33</f>
        <v>1163528.8280015299</v>
      </c>
      <c r="E33" s="38">
        <f t="shared" si="0"/>
        <v>2835392.7900015442</v>
      </c>
      <c r="F33" s="38">
        <v>212177.4480000078</v>
      </c>
      <c r="G33" s="38">
        <v>-14673.436803077813</v>
      </c>
      <c r="H33" s="38">
        <f t="shared" si="1"/>
        <v>2637888.7788046142</v>
      </c>
      <c r="I33" s="9"/>
      <c r="J33" s="188">
        <v>35183</v>
      </c>
    </row>
    <row r="34" spans="1:10" ht="13.5" customHeight="1">
      <c r="A34" s="36">
        <v>8003</v>
      </c>
      <c r="B34" s="36" t="s">
        <v>20</v>
      </c>
      <c r="C34" s="38">
        <v>582406.18799998623</v>
      </c>
      <c r="D34" s="188">
        <f>295564.818999979+J34</f>
        <v>305646.818999979</v>
      </c>
      <c r="E34" s="38">
        <f t="shared" si="0"/>
        <v>888053.00699996529</v>
      </c>
      <c r="F34" s="38">
        <v>63919.435999998583</v>
      </c>
      <c r="G34" s="38">
        <v>-5079.3603287026053</v>
      </c>
      <c r="H34" s="38">
        <f t="shared" si="1"/>
        <v>829212.93132866931</v>
      </c>
      <c r="I34" s="9"/>
      <c r="J34" s="188">
        <v>10082</v>
      </c>
    </row>
    <row r="35" spans="1:10" ht="13.5" customHeight="1">
      <c r="A35" s="36">
        <v>8005</v>
      </c>
      <c r="B35" s="36" t="s">
        <v>21</v>
      </c>
      <c r="C35" s="38">
        <v>166416.7270000008</v>
      </c>
      <c r="D35" s="38">
        <v>39897.172999988114</v>
      </c>
      <c r="E35" s="38">
        <f t="shared" si="0"/>
        <v>206313.89999998891</v>
      </c>
      <c r="F35" s="38">
        <v>0</v>
      </c>
      <c r="G35" s="38">
        <v>-1441.9444005386031</v>
      </c>
      <c r="H35" s="38">
        <f t="shared" si="1"/>
        <v>207755.84440052751</v>
      </c>
      <c r="I35" s="9"/>
      <c r="J35" s="38"/>
    </row>
    <row r="36" spans="1:10" ht="13.5" customHeight="1">
      <c r="A36" s="39">
        <v>8040</v>
      </c>
      <c r="B36" s="39" t="s">
        <v>55</v>
      </c>
      <c r="C36" s="40">
        <v>376071.4139999873</v>
      </c>
      <c r="D36" s="195">
        <f>159669.771999798-J36</f>
        <v>114404.77199979799</v>
      </c>
      <c r="E36" s="40">
        <f t="shared" si="0"/>
        <v>490476.18599978532</v>
      </c>
      <c r="F36" s="40">
        <v>153.78000000000006</v>
      </c>
      <c r="G36" s="40">
        <v>-3239.7649436917854</v>
      </c>
      <c r="H36" s="40">
        <f t="shared" si="1"/>
        <v>493562.17094347707</v>
      </c>
      <c r="I36" s="9"/>
      <c r="J36" s="195">
        <v>45265</v>
      </c>
    </row>
    <row r="37" spans="1:10" ht="13.5" customHeight="1">
      <c r="A37" s="74"/>
      <c r="B37" s="41" t="s">
        <v>30</v>
      </c>
      <c r="C37" s="42">
        <f>SUM(C5:C36)</f>
        <v>30753806.319999818</v>
      </c>
      <c r="D37" s="42">
        <f>SUM(D5:D36)</f>
        <v>19445904.312007461</v>
      </c>
      <c r="E37" s="42">
        <f t="shared" si="0"/>
        <v>50199710.632007279</v>
      </c>
      <c r="F37" s="42">
        <f>SUM(F5:F36)</f>
        <v>3228764.2919996544</v>
      </c>
      <c r="G37" s="42">
        <f>SUM(G5:G36)</f>
        <v>8.8570232037454844E-8</v>
      </c>
      <c r="H37" s="42">
        <f>SUM(H5:H36)</f>
        <v>46970946.340007544</v>
      </c>
      <c r="I37" s="9"/>
      <c r="J37" s="42"/>
    </row>
    <row r="38" spans="1:10" ht="13.5" customHeight="1">
      <c r="A38" s="43"/>
      <c r="B38" s="24"/>
      <c r="C38" s="44"/>
      <c r="D38" s="44"/>
      <c r="E38" s="44"/>
      <c r="F38" s="44"/>
      <c r="G38" s="44"/>
      <c r="H38" s="44"/>
      <c r="I38" s="9"/>
      <c r="J38" s="44"/>
    </row>
    <row r="39" spans="1:10" ht="13.5" customHeight="1">
      <c r="A39" s="43"/>
      <c r="B39" s="45" t="s">
        <v>44</v>
      </c>
      <c r="C39" s="46">
        <f t="shared" ref="C39:H39" si="2">SUM(C5:C14)</f>
        <v>10631500.314999931</v>
      </c>
      <c r="D39" s="46">
        <f t="shared" si="2"/>
        <v>6326415.4219969343</v>
      </c>
      <c r="E39" s="46">
        <f t="shared" si="2"/>
        <v>16957915.736996863</v>
      </c>
      <c r="F39" s="46">
        <f t="shared" si="2"/>
        <v>1104294.7319997477</v>
      </c>
      <c r="G39" s="46">
        <f t="shared" si="2"/>
        <v>-101204.98206785225</v>
      </c>
      <c r="H39" s="47">
        <f t="shared" si="2"/>
        <v>15954825.987064971</v>
      </c>
      <c r="I39" s="9"/>
      <c r="J39" s="47"/>
    </row>
    <row r="40" spans="1:10" ht="13.5" customHeight="1">
      <c r="A40" s="43"/>
      <c r="B40" s="48" t="s">
        <v>45</v>
      </c>
      <c r="C40" s="49">
        <f t="shared" ref="C40:H40" si="3">SUM(C15:C16)</f>
        <v>3800038.5819996847</v>
      </c>
      <c r="D40" s="49">
        <f t="shared" si="3"/>
        <v>2357450.5460033878</v>
      </c>
      <c r="E40" s="49">
        <f t="shared" si="3"/>
        <v>6157489.128003072</v>
      </c>
      <c r="F40" s="49">
        <f t="shared" si="3"/>
        <v>389153.29599998973</v>
      </c>
      <c r="G40" s="49">
        <f t="shared" si="3"/>
        <v>12235.314060076838</v>
      </c>
      <c r="H40" s="50">
        <f t="shared" si="3"/>
        <v>5756100.517943006</v>
      </c>
      <c r="I40" s="9"/>
      <c r="J40" s="50"/>
    </row>
    <row r="41" spans="1:10" ht="13.5" customHeight="1">
      <c r="A41" s="43"/>
      <c r="B41" s="48" t="s">
        <v>46</v>
      </c>
      <c r="C41" s="49">
        <f t="shared" ref="C41:H41" si="4">SUM(C17:C23)</f>
        <v>6403725.4200001964</v>
      </c>
      <c r="D41" s="49">
        <f t="shared" si="4"/>
        <v>4729557.5620020442</v>
      </c>
      <c r="E41" s="49">
        <f t="shared" si="4"/>
        <v>11133282.982002242</v>
      </c>
      <c r="F41" s="49">
        <f t="shared" si="4"/>
        <v>769532.21699993627</v>
      </c>
      <c r="G41" s="49">
        <f t="shared" si="4"/>
        <v>55664.164500056657</v>
      </c>
      <c r="H41" s="50">
        <f t="shared" si="4"/>
        <v>10308086.600502249</v>
      </c>
      <c r="I41" s="9"/>
      <c r="J41" s="50"/>
    </row>
    <row r="42" spans="1:10" ht="13.5" customHeight="1">
      <c r="A42" s="43"/>
      <c r="B42" s="48" t="s">
        <v>47</v>
      </c>
      <c r="C42" s="49">
        <f t="shared" ref="C42:H42" si="5">SUM(C24:C31)</f>
        <v>6863911.6590000195</v>
      </c>
      <c r="D42" s="49">
        <f t="shared" si="5"/>
        <v>4283493.0770037817</v>
      </c>
      <c r="E42" s="49">
        <f t="shared" si="5"/>
        <v>11147404.736003801</v>
      </c>
      <c r="F42" s="49">
        <f t="shared" si="5"/>
        <v>689007.53099997446</v>
      </c>
      <c r="G42" s="49">
        <f t="shared" si="5"/>
        <v>59992.668590209272</v>
      </c>
      <c r="H42" s="50">
        <f t="shared" si="5"/>
        <v>10398404.536413617</v>
      </c>
      <c r="I42" s="9"/>
      <c r="J42" s="50"/>
    </row>
    <row r="43" spans="1:10" ht="13.5" customHeight="1">
      <c r="A43" s="51"/>
      <c r="B43" s="52" t="s">
        <v>48</v>
      </c>
      <c r="C43" s="53">
        <f t="shared" ref="C43:H43" si="6">SUM(C32:C36)</f>
        <v>3054630.3439999926</v>
      </c>
      <c r="D43" s="53">
        <f t="shared" si="6"/>
        <v>1748987.7050013114</v>
      </c>
      <c r="E43" s="53">
        <f t="shared" si="6"/>
        <v>4803618.0490013044</v>
      </c>
      <c r="F43" s="53">
        <f t="shared" si="6"/>
        <v>276776.51600000641</v>
      </c>
      <c r="G43" s="53">
        <f t="shared" si="6"/>
        <v>-26687.165082401945</v>
      </c>
      <c r="H43" s="54">
        <f t="shared" si="6"/>
        <v>4553528.6980836997</v>
      </c>
      <c r="I43" s="9"/>
      <c r="J43" s="54"/>
    </row>
    <row r="44" spans="1:10" ht="13.5" customHeight="1">
      <c r="A44" s="51"/>
      <c r="B44" s="41" t="s">
        <v>30</v>
      </c>
      <c r="C44" s="56">
        <f t="shared" ref="C44:H44" si="7">SUM(C39:C43)</f>
        <v>30753806.319999825</v>
      </c>
      <c r="D44" s="55">
        <f t="shared" si="7"/>
        <v>19445904.312007457</v>
      </c>
      <c r="E44" s="55">
        <f t="shared" si="7"/>
        <v>50199710.632007286</v>
      </c>
      <c r="F44" s="55">
        <f t="shared" si="7"/>
        <v>3228764.2919996544</v>
      </c>
      <c r="G44" s="55">
        <f t="shared" si="7"/>
        <v>8.8570232037454844E-8</v>
      </c>
      <c r="H44" s="56">
        <f t="shared" si="7"/>
        <v>46970946.340007544</v>
      </c>
      <c r="I44" s="9"/>
      <c r="J44" s="12"/>
    </row>
    <row r="45" spans="1:10" ht="13.5" customHeight="1">
      <c r="I45" s="9"/>
      <c r="J45" s="9"/>
    </row>
    <row r="46" spans="1:10" ht="13.5" customHeight="1">
      <c r="I46" s="9"/>
      <c r="J46" s="9"/>
    </row>
    <row r="47" spans="1:10" ht="13.5" customHeight="1"/>
    <row r="48" spans="1:10" ht="13.5" customHeight="1"/>
    <row r="49" ht="13.5" customHeight="1"/>
    <row r="50" ht="13.5" customHeight="1"/>
    <row r="51" ht="13.5" customHeight="1"/>
    <row r="52" ht="13.5" customHeight="1"/>
  </sheetData>
  <phoneticPr fontId="12" type="noConversion"/>
  <pageMargins left="0.52" right="0.43" top="0.52" bottom="0.19" header="0.23" footer="0.25"/>
  <pageSetup paperSize="9" scale="86" orientation="landscape" r:id="rId1"/>
  <headerFooter alignWithMargins="0">
    <oddHeader>&amp;CSide &amp;P /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52"/>
  <sheetViews>
    <sheetView zoomScaleNormal="100" zoomScaleSheetLayoutView="100" workbookViewId="0">
      <selection activeCell="G48" sqref="G48"/>
    </sheetView>
  </sheetViews>
  <sheetFormatPr defaultColWidth="8.85546875" defaultRowHeight="12"/>
  <cols>
    <col min="1" max="1" width="8.5703125" style="1" customWidth="1"/>
    <col min="2" max="2" width="39.28515625" style="1" customWidth="1"/>
    <col min="3" max="9" width="12.85546875" style="1" customWidth="1"/>
    <col min="10" max="10" width="8.85546875" style="1"/>
    <col min="11" max="11" width="11.28515625" style="1" customWidth="1"/>
    <col min="12" max="16384" width="8.85546875" style="1"/>
  </cols>
  <sheetData>
    <row r="1" spans="1:11" ht="15.75">
      <c r="A1" s="8" t="str">
        <f>'Skema1-7_2008'!A1</f>
        <v>Bilag E til Løbende Offentliggørelse af Produktivitet i Sygehussektoren, 2008-2009. December 2010</v>
      </c>
    </row>
    <row r="2" spans="1:11" ht="13.5" customHeight="1">
      <c r="A2" s="28" t="s">
        <v>70</v>
      </c>
    </row>
    <row r="3" spans="1:11" ht="13.5" customHeight="1">
      <c r="A3" s="25" t="s">
        <v>83</v>
      </c>
    </row>
    <row r="4" spans="1:11" ht="54" customHeight="1">
      <c r="A4" s="72" t="s">
        <v>22</v>
      </c>
      <c r="B4" s="72" t="s">
        <v>0</v>
      </c>
      <c r="C4" s="12" t="s">
        <v>41</v>
      </c>
      <c r="D4" s="12" t="s">
        <v>40</v>
      </c>
      <c r="E4" s="12" t="s">
        <v>58</v>
      </c>
      <c r="F4" s="12" t="s">
        <v>37</v>
      </c>
      <c r="G4" s="12" t="s">
        <v>42</v>
      </c>
      <c r="H4" s="12" t="s">
        <v>72</v>
      </c>
      <c r="I4" s="12" t="s">
        <v>49</v>
      </c>
      <c r="K4" s="12" t="s">
        <v>97</v>
      </c>
    </row>
    <row r="5" spans="1:11" ht="13.5" customHeight="1">
      <c r="A5" s="36">
        <v>1301</v>
      </c>
      <c r="B5" s="36" t="s">
        <v>1</v>
      </c>
      <c r="C5" s="37">
        <v>3487690.9780000807</v>
      </c>
      <c r="D5" s="37">
        <v>2100379.2319891569</v>
      </c>
      <c r="E5" s="37">
        <f>C5+D5</f>
        <v>5588070.2099892376</v>
      </c>
      <c r="F5" s="37">
        <v>507447.19199989864</v>
      </c>
      <c r="G5" s="37">
        <v>-13971.876036097296</v>
      </c>
      <c r="H5" s="37">
        <v>0</v>
      </c>
      <c r="I5" s="37">
        <f>C5+D5-F5-G5-H5</f>
        <v>5094594.8940254366</v>
      </c>
      <c r="K5" s="37"/>
    </row>
    <row r="6" spans="1:11" ht="13.5" customHeight="1">
      <c r="A6" s="36">
        <v>1309</v>
      </c>
      <c r="B6" s="36" t="s">
        <v>2</v>
      </c>
      <c r="C6" s="37">
        <v>1017465.2270000192</v>
      </c>
      <c r="D6" s="37">
        <v>576669.78199971234</v>
      </c>
      <c r="E6" s="37">
        <f t="shared" ref="E6:E37" si="0">C6+D6</f>
        <v>1594135.0089997314</v>
      </c>
      <c r="F6" s="37">
        <v>58032.432999996985</v>
      </c>
      <c r="G6" s="37">
        <v>-5411.1918653949397</v>
      </c>
      <c r="H6" s="37">
        <v>0</v>
      </c>
      <c r="I6" s="37">
        <f t="shared" ref="I6:I36" si="1">C6+D6-F6-G6-H6</f>
        <v>1541513.7678651293</v>
      </c>
      <c r="K6" s="37"/>
    </row>
    <row r="7" spans="1:11" ht="13.5" customHeight="1">
      <c r="A7" s="36">
        <v>1330</v>
      </c>
      <c r="B7" s="36" t="s">
        <v>3</v>
      </c>
      <c r="C7" s="37">
        <v>1495396.867999932</v>
      </c>
      <c r="D7" s="37">
        <v>732797.64000082703</v>
      </c>
      <c r="E7" s="37">
        <f t="shared" si="0"/>
        <v>2228194.5080007589</v>
      </c>
      <c r="F7" s="37">
        <v>119187.97899999848</v>
      </c>
      <c r="G7" s="37">
        <v>-11247.64380361326</v>
      </c>
      <c r="H7" s="37">
        <v>0</v>
      </c>
      <c r="I7" s="37">
        <f t="shared" si="1"/>
        <v>2120254.1728043738</v>
      </c>
      <c r="K7" s="37"/>
    </row>
    <row r="8" spans="1:11" ht="13.5" customHeight="1">
      <c r="A8" s="36">
        <v>1351</v>
      </c>
      <c r="B8" s="36" t="s">
        <v>4</v>
      </c>
      <c r="C8" s="37">
        <v>282006.76900000148</v>
      </c>
      <c r="D8" s="37">
        <v>98573.508999956233</v>
      </c>
      <c r="E8" s="37">
        <f t="shared" si="0"/>
        <v>380580.27799995773</v>
      </c>
      <c r="F8" s="37">
        <v>1104.2020000000016</v>
      </c>
      <c r="G8" s="37">
        <v>-1743.3130711611011</v>
      </c>
      <c r="H8" s="37">
        <v>0</v>
      </c>
      <c r="I8" s="37">
        <f t="shared" si="1"/>
        <v>381219.38907111884</v>
      </c>
      <c r="K8" s="37"/>
    </row>
    <row r="9" spans="1:11" ht="13.5" customHeight="1">
      <c r="A9" s="36">
        <v>1401</v>
      </c>
      <c r="B9" s="36" t="s">
        <v>5</v>
      </c>
      <c r="C9" s="37">
        <v>461109.36799997825</v>
      </c>
      <c r="D9" s="37">
        <v>206888.2389998016</v>
      </c>
      <c r="E9" s="37">
        <f t="shared" si="0"/>
        <v>667997.60699977982</v>
      </c>
      <c r="F9" s="37">
        <v>8381.9219999999314</v>
      </c>
      <c r="G9" s="37">
        <v>-2455.8728003628203</v>
      </c>
      <c r="H9" s="37">
        <v>0</v>
      </c>
      <c r="I9" s="37">
        <f t="shared" si="1"/>
        <v>662071.55780014279</v>
      </c>
      <c r="K9" s="37"/>
    </row>
    <row r="10" spans="1:11" ht="13.5" customHeight="1">
      <c r="A10" s="36">
        <v>1501</v>
      </c>
      <c r="B10" s="36" t="s">
        <v>6</v>
      </c>
      <c r="C10" s="37">
        <v>766598.31399999768</v>
      </c>
      <c r="D10" s="37">
        <v>629007.55300017854</v>
      </c>
      <c r="E10" s="37">
        <f t="shared" si="0"/>
        <v>1395605.8670001761</v>
      </c>
      <c r="F10" s="37">
        <v>83868.364999998812</v>
      </c>
      <c r="G10" s="37">
        <v>-9994.8660658259178</v>
      </c>
      <c r="H10" s="37">
        <v>0</v>
      </c>
      <c r="I10" s="37">
        <f t="shared" si="1"/>
        <v>1321732.3680660031</v>
      </c>
      <c r="K10" s="37"/>
    </row>
    <row r="11" spans="1:11" ht="13.5" customHeight="1">
      <c r="A11" s="36">
        <v>1502</v>
      </c>
      <c r="B11" s="36" t="s">
        <v>7</v>
      </c>
      <c r="C11" s="37">
        <v>733193.31100001617</v>
      </c>
      <c r="D11" s="37">
        <v>669364.94899984228</v>
      </c>
      <c r="E11" s="37">
        <f t="shared" si="0"/>
        <v>1402558.2599998584</v>
      </c>
      <c r="F11" s="37">
        <v>68897.580999998085</v>
      </c>
      <c r="G11" s="37">
        <v>-8807.0542746837018</v>
      </c>
      <c r="H11" s="37">
        <v>0</v>
      </c>
      <c r="I11" s="37">
        <f t="shared" si="1"/>
        <v>1342467.7332745441</v>
      </c>
      <c r="K11" s="37"/>
    </row>
    <row r="12" spans="1:11" ht="13.5" customHeight="1">
      <c r="A12" s="36">
        <v>1516</v>
      </c>
      <c r="B12" s="36" t="s">
        <v>8</v>
      </c>
      <c r="C12" s="37">
        <v>1534047.8279998749</v>
      </c>
      <c r="D12" s="37">
        <v>1489726.3179984074</v>
      </c>
      <c r="E12" s="37">
        <f t="shared" si="0"/>
        <v>3023774.1459982824</v>
      </c>
      <c r="F12" s="37">
        <v>430191.79199986492</v>
      </c>
      <c r="G12" s="37">
        <v>-7176.5353044976946</v>
      </c>
      <c r="H12" s="37">
        <v>0</v>
      </c>
      <c r="I12" s="37">
        <f t="shared" si="1"/>
        <v>2600758.889302915</v>
      </c>
      <c r="K12" s="37"/>
    </row>
    <row r="13" spans="1:11" ht="13.5" customHeight="1">
      <c r="A13" s="36">
        <v>2000</v>
      </c>
      <c r="B13" s="36" t="s">
        <v>9</v>
      </c>
      <c r="C13" s="37">
        <v>1622997.8979998755</v>
      </c>
      <c r="D13" s="37">
        <v>798077.96200099087</v>
      </c>
      <c r="E13" s="37">
        <f t="shared" si="0"/>
        <v>2421075.8600008665</v>
      </c>
      <c r="F13" s="37">
        <v>114668.52200000732</v>
      </c>
      <c r="G13" s="37">
        <v>-8709.2922417512164</v>
      </c>
      <c r="H13" s="37">
        <v>0</v>
      </c>
      <c r="I13" s="37">
        <f t="shared" si="1"/>
        <v>2315116.6302426104</v>
      </c>
      <c r="K13" s="37"/>
    </row>
    <row r="14" spans="1:11" ht="13.5" customHeight="1">
      <c r="A14" s="36">
        <v>4001</v>
      </c>
      <c r="B14" s="36" t="s">
        <v>11</v>
      </c>
      <c r="C14" s="37">
        <v>164248.15200000093</v>
      </c>
      <c r="D14" s="37">
        <v>108535.02899999902</v>
      </c>
      <c r="E14" s="37">
        <f t="shared" si="0"/>
        <v>272783.18099999998</v>
      </c>
      <c r="F14" s="37">
        <v>11410.022000000092</v>
      </c>
      <c r="G14" s="37">
        <v>-871.48024648817955</v>
      </c>
      <c r="H14" s="37">
        <v>-444.27</v>
      </c>
      <c r="I14" s="37">
        <f t="shared" si="1"/>
        <v>262688.90924648813</v>
      </c>
      <c r="K14" s="37"/>
    </row>
    <row r="15" spans="1:11" ht="13.5" customHeight="1">
      <c r="A15" s="36">
        <v>2500</v>
      </c>
      <c r="B15" s="36" t="s">
        <v>10</v>
      </c>
      <c r="C15" s="38">
        <v>1896954.173999917</v>
      </c>
      <c r="D15" s="38">
        <v>1277354.2870026899</v>
      </c>
      <c r="E15" s="38">
        <f t="shared" si="0"/>
        <v>3174308.4610026069</v>
      </c>
      <c r="F15" s="38">
        <v>226294.72899999324</v>
      </c>
      <c r="G15" s="38">
        <v>-34150.5999487394</v>
      </c>
      <c r="H15" s="38">
        <v>0</v>
      </c>
      <c r="I15" s="37">
        <f t="shared" si="1"/>
        <v>2982164.3319513528</v>
      </c>
      <c r="K15" s="38"/>
    </row>
    <row r="16" spans="1:11" ht="13.5" customHeight="1">
      <c r="A16" s="36">
        <v>2501</v>
      </c>
      <c r="B16" s="36" t="s">
        <v>56</v>
      </c>
      <c r="C16" s="38">
        <v>2129017.9109998336</v>
      </c>
      <c r="D16" s="38">
        <v>1392419.332000124</v>
      </c>
      <c r="E16" s="38">
        <f t="shared" si="0"/>
        <v>3521437.2429999579</v>
      </c>
      <c r="F16" s="38">
        <v>241835.58699998015</v>
      </c>
      <c r="G16" s="38">
        <v>-35408.158398567699</v>
      </c>
      <c r="H16" s="38">
        <v>0</v>
      </c>
      <c r="I16" s="37">
        <f t="shared" si="1"/>
        <v>3315009.8143985453</v>
      </c>
      <c r="K16" s="38"/>
    </row>
    <row r="17" spans="1:11" ht="13.5" customHeight="1">
      <c r="A17" s="36">
        <v>4202</v>
      </c>
      <c r="B17" s="36" t="s">
        <v>12</v>
      </c>
      <c r="C17" s="37">
        <v>2422779.6840000185</v>
      </c>
      <c r="D17" s="37">
        <v>1913949.7529987777</v>
      </c>
      <c r="E17" s="37">
        <f t="shared" si="0"/>
        <v>4336729.4369987957</v>
      </c>
      <c r="F17" s="37">
        <v>386636.7459999327</v>
      </c>
      <c r="G17" s="37">
        <v>9926.7432297766209</v>
      </c>
      <c r="H17" s="37">
        <v>0</v>
      </c>
      <c r="I17" s="37">
        <f t="shared" si="1"/>
        <v>3940165.9477690863</v>
      </c>
      <c r="K17" s="37"/>
    </row>
    <row r="18" spans="1:11" ht="13.5" customHeight="1">
      <c r="A18" s="36">
        <v>4212</v>
      </c>
      <c r="B18" s="36" t="s">
        <v>50</v>
      </c>
      <c r="C18" s="37">
        <v>748643.17500001495</v>
      </c>
      <c r="D18" s="37">
        <v>444832.38400008966</v>
      </c>
      <c r="E18" s="37">
        <f t="shared" si="0"/>
        <v>1193475.5590001047</v>
      </c>
      <c r="F18" s="37">
        <v>16089.212000000227</v>
      </c>
      <c r="G18" s="37">
        <v>27487.888542723609</v>
      </c>
      <c r="H18" s="37">
        <v>0</v>
      </c>
      <c r="I18" s="37">
        <f t="shared" si="1"/>
        <v>1149898.4584573808</v>
      </c>
      <c r="K18" s="37"/>
    </row>
    <row r="19" spans="1:11" ht="13.5" customHeight="1">
      <c r="A19" s="36">
        <v>5000</v>
      </c>
      <c r="B19" s="36" t="s">
        <v>57</v>
      </c>
      <c r="C19" s="37">
        <v>974950.33700007456</v>
      </c>
      <c r="D19" s="37">
        <v>772608.31700077571</v>
      </c>
      <c r="E19" s="37">
        <f t="shared" si="0"/>
        <v>1747558.6540008504</v>
      </c>
      <c r="F19" s="37">
        <v>80487.94300000291</v>
      </c>
      <c r="G19" s="37">
        <v>29243.858043771586</v>
      </c>
      <c r="H19" s="37">
        <v>0</v>
      </c>
      <c r="I19" s="37">
        <f t="shared" si="1"/>
        <v>1637826.8529570759</v>
      </c>
      <c r="K19" s="37"/>
    </row>
    <row r="20" spans="1:11" ht="13.5" customHeight="1">
      <c r="A20" s="36">
        <v>5501</v>
      </c>
      <c r="B20" s="36" t="s">
        <v>13</v>
      </c>
      <c r="C20" s="37">
        <v>986946.41600006714</v>
      </c>
      <c r="D20" s="37">
        <v>772611.88600063825</v>
      </c>
      <c r="E20" s="37">
        <f t="shared" si="0"/>
        <v>1759558.3020007054</v>
      </c>
      <c r="F20" s="37">
        <v>139449.48900000739</v>
      </c>
      <c r="G20" s="37">
        <v>-5253.429878580966</v>
      </c>
      <c r="H20" s="37">
        <v>0</v>
      </c>
      <c r="I20" s="37">
        <f t="shared" si="1"/>
        <v>1625362.242879279</v>
      </c>
      <c r="K20" s="37"/>
    </row>
    <row r="21" spans="1:11" ht="13.5" customHeight="1">
      <c r="A21" s="36">
        <v>6007</v>
      </c>
      <c r="B21" s="36" t="s">
        <v>14</v>
      </c>
      <c r="C21" s="37">
        <v>860123.03700004879</v>
      </c>
      <c r="D21" s="37">
        <v>521024.30099983729</v>
      </c>
      <c r="E21" s="37">
        <f t="shared" si="0"/>
        <v>1381147.3379998861</v>
      </c>
      <c r="F21" s="37">
        <v>29143.245000000501</v>
      </c>
      <c r="G21" s="37">
        <v>-4592.1577775599435</v>
      </c>
      <c r="H21" s="37">
        <v>0</v>
      </c>
      <c r="I21" s="37">
        <f t="shared" si="1"/>
        <v>1356596.2507774455</v>
      </c>
      <c r="K21" s="37"/>
    </row>
    <row r="22" spans="1:11" ht="13.5" customHeight="1">
      <c r="A22" s="36">
        <v>6008</v>
      </c>
      <c r="B22" s="36" t="s">
        <v>85</v>
      </c>
      <c r="C22" s="37">
        <v>661524.5299999736</v>
      </c>
      <c r="D22" s="37">
        <v>1025135.3470013172</v>
      </c>
      <c r="E22" s="37">
        <f t="shared" si="0"/>
        <v>1686659.8770012907</v>
      </c>
      <c r="F22" s="37">
        <v>265964.82299997535</v>
      </c>
      <c r="G22" s="37">
        <v>19772.525496689021</v>
      </c>
      <c r="H22" s="37">
        <v>0</v>
      </c>
      <c r="I22" s="37">
        <f t="shared" si="1"/>
        <v>1400922.5285046264</v>
      </c>
      <c r="K22" s="37"/>
    </row>
    <row r="23" spans="1:11" ht="13.5" customHeight="1">
      <c r="A23" s="36">
        <v>6013</v>
      </c>
      <c r="B23" s="36" t="s">
        <v>73</v>
      </c>
      <c r="C23" s="37">
        <v>65499.352999999428</v>
      </c>
      <c r="D23" s="37">
        <v>40588.919999998689</v>
      </c>
      <c r="E23" s="37">
        <f t="shared" si="0"/>
        <v>106088.27299999812</v>
      </c>
      <c r="F23" s="37">
        <v>0</v>
      </c>
      <c r="G23" s="37">
        <v>-341.96757208984491</v>
      </c>
      <c r="H23" s="37">
        <v>0</v>
      </c>
      <c r="I23" s="37">
        <f t="shared" si="1"/>
        <v>106430.24057208796</v>
      </c>
      <c r="K23" s="37"/>
    </row>
    <row r="24" spans="1:11" ht="13.5" customHeight="1">
      <c r="A24" s="36">
        <v>6014</v>
      </c>
      <c r="B24" s="36" t="s">
        <v>74</v>
      </c>
      <c r="C24" s="37">
        <v>0</v>
      </c>
      <c r="D24" s="37">
        <v>77009.211999999141</v>
      </c>
      <c r="E24" s="37">
        <f t="shared" si="0"/>
        <v>77009.211999999141</v>
      </c>
      <c r="F24" s="37">
        <v>0</v>
      </c>
      <c r="G24" s="37"/>
      <c r="H24" s="37">
        <v>0</v>
      </c>
      <c r="I24" s="37">
        <f t="shared" si="1"/>
        <v>77009.211999999141</v>
      </c>
      <c r="K24" s="37"/>
    </row>
    <row r="25" spans="1:11" ht="13.5" customHeight="1">
      <c r="A25" s="36">
        <v>6006</v>
      </c>
      <c r="B25" s="36" t="s">
        <v>51</v>
      </c>
      <c r="C25" s="37">
        <v>532892.98899997503</v>
      </c>
      <c r="D25" s="37">
        <v>363750.89100003103</v>
      </c>
      <c r="E25" s="37">
        <f t="shared" si="0"/>
        <v>896643.88000000606</v>
      </c>
      <c r="F25" s="37">
        <v>16672.596000000158</v>
      </c>
      <c r="G25" s="37">
        <v>-2808.0225797140156</v>
      </c>
      <c r="H25" s="37">
        <v>0</v>
      </c>
      <c r="I25" s="37">
        <f t="shared" si="1"/>
        <v>882779.30657972</v>
      </c>
      <c r="K25" s="37"/>
    </row>
    <row r="26" spans="1:11" ht="13.5" customHeight="1">
      <c r="A26" s="36">
        <v>6500</v>
      </c>
      <c r="B26" s="36" t="s">
        <v>15</v>
      </c>
      <c r="C26" s="37">
        <v>1183083.6579999989</v>
      </c>
      <c r="D26" s="37">
        <v>809542.923001508</v>
      </c>
      <c r="E26" s="37">
        <f t="shared" si="0"/>
        <v>1992626.5810015069</v>
      </c>
      <c r="F26" s="37">
        <v>132041.44400000855</v>
      </c>
      <c r="G26" s="37">
        <v>43902.682694671443</v>
      </c>
      <c r="H26" s="37">
        <v>0</v>
      </c>
      <c r="I26" s="37">
        <f t="shared" si="1"/>
        <v>1816682.4543068269</v>
      </c>
      <c r="K26" s="37"/>
    </row>
    <row r="27" spans="1:11" ht="13.5" customHeight="1">
      <c r="A27" s="36">
        <v>7002</v>
      </c>
      <c r="B27" s="36" t="s">
        <v>16</v>
      </c>
      <c r="C27" s="37">
        <v>406173.21999999066</v>
      </c>
      <c r="D27" s="37">
        <v>290412.68099991849</v>
      </c>
      <c r="E27" s="37">
        <f t="shared" si="0"/>
        <v>696585.90099990915</v>
      </c>
      <c r="F27" s="37">
        <v>44463.785000000149</v>
      </c>
      <c r="G27" s="37">
        <v>-2134.699254536652</v>
      </c>
      <c r="H27" s="37">
        <v>0</v>
      </c>
      <c r="I27" s="37">
        <f t="shared" si="1"/>
        <v>654256.81525444565</v>
      </c>
      <c r="K27" s="37"/>
    </row>
    <row r="28" spans="1:11" ht="13.5" customHeight="1">
      <c r="A28" s="36">
        <v>7003</v>
      </c>
      <c r="B28" s="36" t="s">
        <v>17</v>
      </c>
      <c r="C28" s="37">
        <v>1972502.4649999642</v>
      </c>
      <c r="D28" s="37">
        <v>1724567.6950001926</v>
      </c>
      <c r="E28" s="37">
        <f t="shared" si="0"/>
        <v>3697070.1600001566</v>
      </c>
      <c r="F28" s="37">
        <v>455727.97500000068</v>
      </c>
      <c r="G28" s="37">
        <v>44423.965198636986</v>
      </c>
      <c r="H28" s="37">
        <v>-8822.26</v>
      </c>
      <c r="I28" s="37">
        <f t="shared" si="1"/>
        <v>3205740.4798015188</v>
      </c>
      <c r="K28" s="37"/>
    </row>
    <row r="29" spans="1:11" ht="13.5" customHeight="1">
      <c r="A29" s="36">
        <v>7005</v>
      </c>
      <c r="B29" s="36" t="s">
        <v>18</v>
      </c>
      <c r="C29" s="37">
        <v>705648.65500000981</v>
      </c>
      <c r="D29" s="37">
        <v>515264.43400061759</v>
      </c>
      <c r="E29" s="37">
        <f t="shared" si="0"/>
        <v>1220913.0890006274</v>
      </c>
      <c r="F29" s="37">
        <v>22390.719000000077</v>
      </c>
      <c r="G29" s="37">
        <v>10666.455521985772</v>
      </c>
      <c r="H29" s="37">
        <v>-6914.7060000000001</v>
      </c>
      <c r="I29" s="37">
        <f t="shared" si="1"/>
        <v>1194770.6204786415</v>
      </c>
      <c r="K29" s="37"/>
    </row>
    <row r="30" spans="1:11" ht="13.5" customHeight="1">
      <c r="A30" s="36">
        <v>7026</v>
      </c>
      <c r="B30" s="36" t="s">
        <v>52</v>
      </c>
      <c r="C30" s="38">
        <v>1411543.7599999912</v>
      </c>
      <c r="D30" s="38">
        <v>455483.89199984539</v>
      </c>
      <c r="E30" s="38">
        <f t="shared" si="0"/>
        <v>1867027.6519998366</v>
      </c>
      <c r="F30" s="38">
        <v>43188.172000001156</v>
      </c>
      <c r="G30" s="38">
        <v>-7570.9995716889389</v>
      </c>
      <c r="H30" s="38">
        <v>0</v>
      </c>
      <c r="I30" s="37">
        <f t="shared" si="1"/>
        <v>1831410.4795715243</v>
      </c>
      <c r="K30" s="38"/>
    </row>
    <row r="31" spans="1:11" ht="13.5" customHeight="1">
      <c r="A31" s="36">
        <v>7601</v>
      </c>
      <c r="B31" s="36" t="s">
        <v>53</v>
      </c>
      <c r="C31" s="38">
        <v>998462.51500006299</v>
      </c>
      <c r="D31" s="38">
        <v>645688.99900027004</v>
      </c>
      <c r="E31" s="38">
        <f t="shared" si="0"/>
        <v>1644151.5140003329</v>
      </c>
      <c r="F31" s="38">
        <v>127504.94300000058</v>
      </c>
      <c r="G31" s="38">
        <v>-5301.4709235494956</v>
      </c>
      <c r="H31" s="38">
        <v>0</v>
      </c>
      <c r="I31" s="37">
        <f t="shared" si="1"/>
        <v>1521948.0419238817</v>
      </c>
      <c r="K31" s="38"/>
    </row>
    <row r="32" spans="1:11" ht="13.5" customHeight="1">
      <c r="A32" s="36">
        <v>7603</v>
      </c>
      <c r="B32" s="36" t="s">
        <v>19</v>
      </c>
      <c r="C32" s="38">
        <v>266935.41000000457</v>
      </c>
      <c r="D32" s="38">
        <v>147662.69500001913</v>
      </c>
      <c r="E32" s="38">
        <f t="shared" si="0"/>
        <v>414598.10500002373</v>
      </c>
      <c r="F32" s="38">
        <v>535.98099999999999</v>
      </c>
      <c r="G32" s="38">
        <v>-1428.0517531453515</v>
      </c>
      <c r="H32" s="38">
        <v>0</v>
      </c>
      <c r="I32" s="37">
        <f t="shared" si="1"/>
        <v>415490.17575316905</v>
      </c>
      <c r="K32" s="38"/>
    </row>
    <row r="33" spans="1:11" ht="13.5" customHeight="1">
      <c r="A33" s="36">
        <v>8001</v>
      </c>
      <c r="B33" s="36" t="s">
        <v>54</v>
      </c>
      <c r="C33" s="38">
        <v>1796067.0400000045</v>
      </c>
      <c r="D33" s="188">
        <f>1309037.4010011+K33</f>
        <v>1345161.4010011</v>
      </c>
      <c r="E33" s="38">
        <f t="shared" si="0"/>
        <v>3141228.4410011042</v>
      </c>
      <c r="F33" s="38">
        <v>235785.07599999235</v>
      </c>
      <c r="G33" s="38">
        <v>-9651.0661092149094</v>
      </c>
      <c r="H33" s="38">
        <v>0</v>
      </c>
      <c r="I33" s="37">
        <f t="shared" si="1"/>
        <v>2915094.4311103267</v>
      </c>
      <c r="J33" s="9"/>
      <c r="K33" s="188">
        <v>36124</v>
      </c>
    </row>
    <row r="34" spans="1:11" ht="13.5" customHeight="1">
      <c r="A34" s="36">
        <v>8003</v>
      </c>
      <c r="B34" s="36" t="s">
        <v>20</v>
      </c>
      <c r="C34" s="38">
        <v>612744.74599999248</v>
      </c>
      <c r="D34" s="188">
        <f>337012.48200018+K34</f>
        <v>347448.48200018</v>
      </c>
      <c r="E34" s="38">
        <f t="shared" si="0"/>
        <v>960193.22800017241</v>
      </c>
      <c r="F34" s="38">
        <v>73433.808000001227</v>
      </c>
      <c r="G34" s="38">
        <v>-3269.9205641261069</v>
      </c>
      <c r="H34" s="38">
        <v>0</v>
      </c>
      <c r="I34" s="37">
        <f t="shared" si="1"/>
        <v>890029.34056429728</v>
      </c>
      <c r="J34" s="9"/>
      <c r="K34" s="188">
        <v>10436</v>
      </c>
    </row>
    <row r="35" spans="1:11" ht="13.5" customHeight="1">
      <c r="A35" s="36">
        <v>8005</v>
      </c>
      <c r="B35" s="36" t="s">
        <v>21</v>
      </c>
      <c r="C35" s="38">
        <v>171250.32100000055</v>
      </c>
      <c r="D35" s="38">
        <v>49307.982999987849</v>
      </c>
      <c r="E35" s="38">
        <f t="shared" si="0"/>
        <v>220558.30399998839</v>
      </c>
      <c r="F35" s="38">
        <v>34.168000000000006</v>
      </c>
      <c r="G35" s="38">
        <v>-909.84396405043663</v>
      </c>
      <c r="H35" s="38">
        <v>0</v>
      </c>
      <c r="I35" s="37">
        <f t="shared" si="1"/>
        <v>221433.97996403882</v>
      </c>
      <c r="J35" s="9"/>
      <c r="K35" s="38"/>
    </row>
    <row r="36" spans="1:11" ht="13.5" customHeight="1">
      <c r="A36" s="39">
        <v>8040</v>
      </c>
      <c r="B36" s="39" t="s">
        <v>55</v>
      </c>
      <c r="C36" s="40">
        <v>419779.20299997972</v>
      </c>
      <c r="D36" s="195">
        <f>185063.068999784+K36</f>
        <v>138503.06899978401</v>
      </c>
      <c r="E36" s="40">
        <f t="shared" si="0"/>
        <v>558282.27199976379</v>
      </c>
      <c r="F36" s="40">
        <v>220.41800000000012</v>
      </c>
      <c r="G36" s="40">
        <v>-2214.6047225857037</v>
      </c>
      <c r="H36" s="40">
        <v>0</v>
      </c>
      <c r="I36" s="37">
        <f t="shared" si="1"/>
        <v>560276.45872234949</v>
      </c>
      <c r="J36" s="9"/>
      <c r="K36" s="195">
        <v>-46560</v>
      </c>
    </row>
    <row r="37" spans="1:11" ht="13.5" customHeight="1">
      <c r="A37" s="74"/>
      <c r="B37" s="41" t="s">
        <v>30</v>
      </c>
      <c r="C37" s="42">
        <f>SUM(C5:C36)</f>
        <v>32788277.311999701</v>
      </c>
      <c r="D37" s="42">
        <f>SUM(D5:D36)</f>
        <v>22480349.096996576</v>
      </c>
      <c r="E37" s="42">
        <f t="shared" si="0"/>
        <v>55268626.408996277</v>
      </c>
      <c r="F37" s="42">
        <f>SUM(F5:F36)</f>
        <v>3941090.8689996609</v>
      </c>
      <c r="G37" s="42">
        <f>SUM(G5:G36)</f>
        <v>2.2945459932088852E-7</v>
      </c>
      <c r="H37" s="42">
        <f>SUM(H5:H36)</f>
        <v>-16181.236000000001</v>
      </c>
      <c r="I37" s="42">
        <f>SUM(I5:I36)</f>
        <v>51343716.77599638</v>
      </c>
      <c r="J37" s="9"/>
      <c r="K37" s="42"/>
    </row>
    <row r="38" spans="1:11" ht="13.5" customHeight="1">
      <c r="A38" s="43"/>
      <c r="B38" s="24"/>
      <c r="C38" s="44"/>
      <c r="D38" s="44"/>
      <c r="E38" s="44"/>
      <c r="F38" s="44"/>
      <c r="G38" s="44"/>
      <c r="H38" s="44"/>
      <c r="I38" s="44"/>
      <c r="J38" s="9"/>
      <c r="K38" s="44"/>
    </row>
    <row r="39" spans="1:11" ht="13.5" customHeight="1">
      <c r="A39" s="43"/>
      <c r="B39" s="45" t="s">
        <v>44</v>
      </c>
      <c r="C39" s="46">
        <f t="shared" ref="C39:I39" si="2">SUM(C5:C14)</f>
        <v>11564754.712999776</v>
      </c>
      <c r="D39" s="46">
        <f t="shared" si="2"/>
        <v>7410020.212988873</v>
      </c>
      <c r="E39" s="46">
        <f t="shared" si="2"/>
        <v>18974774.925988648</v>
      </c>
      <c r="F39" s="46">
        <f t="shared" si="2"/>
        <v>1403190.0099997632</v>
      </c>
      <c r="G39" s="46">
        <f t="shared" si="2"/>
        <v>-70389.125709876127</v>
      </c>
      <c r="H39" s="46">
        <f>SUM(H5:H14)</f>
        <v>-444.27</v>
      </c>
      <c r="I39" s="47">
        <f t="shared" si="2"/>
        <v>17642418.311698765</v>
      </c>
      <c r="J39" s="9"/>
      <c r="K39" s="47"/>
    </row>
    <row r="40" spans="1:11" ht="13.5" customHeight="1">
      <c r="A40" s="43"/>
      <c r="B40" s="48" t="s">
        <v>45</v>
      </c>
      <c r="C40" s="49">
        <f t="shared" ref="C40:I40" si="3">SUM(C15:C16)</f>
        <v>4025972.0849997504</v>
      </c>
      <c r="D40" s="49">
        <f t="shared" si="3"/>
        <v>2669773.6190028139</v>
      </c>
      <c r="E40" s="49">
        <f t="shared" si="3"/>
        <v>6695745.7040025648</v>
      </c>
      <c r="F40" s="49">
        <f t="shared" si="3"/>
        <v>468130.31599997339</v>
      </c>
      <c r="G40" s="49">
        <f t="shared" si="3"/>
        <v>-69558.758347307099</v>
      </c>
      <c r="H40" s="49">
        <f>SUM(H15:H16)</f>
        <v>0</v>
      </c>
      <c r="I40" s="50">
        <f t="shared" si="3"/>
        <v>6297174.1463498976</v>
      </c>
      <c r="J40" s="9"/>
      <c r="K40" s="50"/>
    </row>
    <row r="41" spans="1:11" ht="13.5" customHeight="1">
      <c r="A41" s="43"/>
      <c r="B41" s="48" t="s">
        <v>46</v>
      </c>
      <c r="C41" s="49">
        <f t="shared" ref="C41:I41" si="4">SUM(C17:C23)</f>
        <v>6720466.5320001971</v>
      </c>
      <c r="D41" s="49">
        <f t="shared" si="4"/>
        <v>5490750.9080014341</v>
      </c>
      <c r="E41" s="49">
        <f t="shared" si="4"/>
        <v>12211217.440001631</v>
      </c>
      <c r="F41" s="49">
        <f t="shared" si="4"/>
        <v>917771.45799991908</v>
      </c>
      <c r="G41" s="49">
        <f t="shared" si="4"/>
        <v>76243.46008473009</v>
      </c>
      <c r="H41" s="49">
        <f>SUM(H17:H23)</f>
        <v>0</v>
      </c>
      <c r="I41" s="50">
        <f t="shared" si="4"/>
        <v>11217202.521916982</v>
      </c>
      <c r="J41" s="9"/>
      <c r="K41" s="50"/>
    </row>
    <row r="42" spans="1:11" ht="13.5" customHeight="1">
      <c r="A42" s="43"/>
      <c r="B42" s="48" t="s">
        <v>47</v>
      </c>
      <c r="C42" s="49">
        <f t="shared" ref="C42:I42" si="5">SUM(C24:C31)</f>
        <v>7210307.2619999927</v>
      </c>
      <c r="D42" s="49">
        <f t="shared" si="5"/>
        <v>4881720.7270023823</v>
      </c>
      <c r="E42" s="49">
        <f t="shared" si="5"/>
        <v>12092027.989002373</v>
      </c>
      <c r="F42" s="49">
        <f t="shared" si="5"/>
        <v>841989.63400001137</v>
      </c>
      <c r="G42" s="49">
        <f t="shared" si="5"/>
        <v>81177.911085805099</v>
      </c>
      <c r="H42" s="49">
        <f>SUM(H24:H31)</f>
        <v>-15736.966</v>
      </c>
      <c r="I42" s="50">
        <f t="shared" si="5"/>
        <v>11184597.409916559</v>
      </c>
      <c r="J42" s="9"/>
      <c r="K42" s="50"/>
    </row>
    <row r="43" spans="1:11" ht="13.5" customHeight="1">
      <c r="A43" s="51"/>
      <c r="B43" s="52" t="s">
        <v>48</v>
      </c>
      <c r="C43" s="53">
        <f t="shared" ref="C43:I43" si="6">SUM(C32:C36)</f>
        <v>3266776.7199999816</v>
      </c>
      <c r="D43" s="53">
        <f t="shared" si="6"/>
        <v>2028083.6300010711</v>
      </c>
      <c r="E43" s="53">
        <f t="shared" si="6"/>
        <v>5294860.350001052</v>
      </c>
      <c r="F43" s="53">
        <f t="shared" si="6"/>
        <v>310009.4509999936</v>
      </c>
      <c r="G43" s="53">
        <f t="shared" si="6"/>
        <v>-17473.487113122508</v>
      </c>
      <c r="H43" s="53">
        <f>SUM(H32:H36)</f>
        <v>0</v>
      </c>
      <c r="I43" s="54">
        <f t="shared" si="6"/>
        <v>5002324.386114182</v>
      </c>
      <c r="J43" s="9"/>
      <c r="K43" s="54">
        <f>SUM(K33:K36)</f>
        <v>0</v>
      </c>
    </row>
    <row r="44" spans="1:11" ht="13.5" customHeight="1">
      <c r="A44" s="51"/>
      <c r="B44" s="41" t="s">
        <v>30</v>
      </c>
      <c r="C44" s="56">
        <f t="shared" ref="C44:I44" si="7">SUM(C39:C43)</f>
        <v>32788277.311999697</v>
      </c>
      <c r="D44" s="55">
        <f t="shared" si="7"/>
        <v>22480349.096996576</v>
      </c>
      <c r="E44" s="55">
        <f t="shared" si="7"/>
        <v>55268626.408996269</v>
      </c>
      <c r="F44" s="55">
        <f t="shared" si="7"/>
        <v>3941090.86899966</v>
      </c>
      <c r="G44" s="55">
        <f t="shared" si="7"/>
        <v>2.2945459932088852E-7</v>
      </c>
      <c r="H44" s="55">
        <f t="shared" si="7"/>
        <v>-16181.236000000001</v>
      </c>
      <c r="I44" s="56">
        <f t="shared" si="7"/>
        <v>51343716.77599638</v>
      </c>
      <c r="J44" s="9"/>
      <c r="K44" s="12"/>
    </row>
    <row r="45" spans="1:11" ht="13.5" customHeight="1">
      <c r="J45" s="9"/>
      <c r="K45" s="9"/>
    </row>
    <row r="46" spans="1:11" ht="13.5" customHeight="1">
      <c r="J46" s="9"/>
      <c r="K46" s="9"/>
    </row>
    <row r="47" spans="1:11" ht="13.5" customHeight="1"/>
    <row r="48" spans="1:11" ht="13.5" customHeight="1"/>
    <row r="49" ht="13.5" customHeight="1"/>
    <row r="50" ht="13.5" customHeight="1"/>
    <row r="51" ht="13.5" customHeight="1"/>
    <row r="52" ht="13.5" customHeight="1"/>
  </sheetData>
  <phoneticPr fontId="12" type="noConversion"/>
  <pageMargins left="0.52" right="0.43" top="0.52" bottom="0.19" header="0.23" footer="0.25"/>
  <pageSetup paperSize="9" scale="86" orientation="landscape" r:id="rId1"/>
  <headerFooter alignWithMargins="0">
    <oddHeader>&amp;CSide &amp;P /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M52"/>
  <sheetViews>
    <sheetView zoomScaleNormal="100" zoomScaleSheetLayoutView="100" workbookViewId="0">
      <selection activeCell="G47" sqref="G47"/>
    </sheetView>
  </sheetViews>
  <sheetFormatPr defaultColWidth="8.85546875" defaultRowHeight="12"/>
  <cols>
    <col min="1" max="1" width="8.5703125" style="1" customWidth="1"/>
    <col min="2" max="2" width="39.28515625" style="1" customWidth="1"/>
    <col min="3" max="8" width="12.85546875" style="1" customWidth="1"/>
    <col min="9" max="16384" width="8.85546875" style="1"/>
  </cols>
  <sheetData>
    <row r="1" spans="1:13" ht="15.75">
      <c r="A1" s="8" t="str">
        <f>'Skema1-7_2008'!A1</f>
        <v>Bilag E til Løbende Offentliggørelse af Produktivitet i Sygehussektoren, 2008-2009. December 2010</v>
      </c>
    </row>
    <row r="2" spans="1:13" ht="13.5" customHeight="1">
      <c r="A2" s="28" t="s">
        <v>81</v>
      </c>
    </row>
    <row r="3" spans="1:13" ht="13.5" customHeight="1">
      <c r="A3" s="25" t="s">
        <v>84</v>
      </c>
    </row>
    <row r="4" spans="1:13" ht="58.5" customHeight="1">
      <c r="A4" s="72" t="s">
        <v>22</v>
      </c>
      <c r="B4" s="72" t="s">
        <v>0</v>
      </c>
      <c r="C4" s="12" t="s">
        <v>41</v>
      </c>
      <c r="D4" s="12" t="s">
        <v>40</v>
      </c>
      <c r="E4" s="12" t="s">
        <v>58</v>
      </c>
      <c r="F4" s="12" t="s">
        <v>37</v>
      </c>
      <c r="G4" s="12" t="s">
        <v>42</v>
      </c>
      <c r="H4" s="12" t="s">
        <v>49</v>
      </c>
      <c r="K4" s="76"/>
      <c r="L4" s="76"/>
      <c r="M4" s="76"/>
    </row>
    <row r="5" spans="1:13" ht="13.5" customHeight="1">
      <c r="A5" s="36">
        <v>1301</v>
      </c>
      <c r="B5" s="36" t="s">
        <v>1</v>
      </c>
      <c r="C5" s="115">
        <f>IF(DRG_08!C5=0,"-",DRG_09!C5/DRG_08!C5*100-100)</f>
        <v>9.4577667894322133</v>
      </c>
      <c r="D5" s="115">
        <f>IF(DRG_08!D5=0,"-",DRG_09!D5/DRG_08!D5*100-100)</f>
        <v>21.254557010603236</v>
      </c>
      <c r="E5" s="115">
        <f>IF(DRG_08!E5=0,"-",DRG_09!E5/DRG_08!E5*100-100)</f>
        <v>13.612347318553944</v>
      </c>
      <c r="F5" s="115">
        <f>IF(DRG_08!F5=0,"-",DRG_09!F5/DRG_08!F5*100-100)</f>
        <v>23.373475289809463</v>
      </c>
      <c r="G5" s="115">
        <f>IF(DRG_08!G5=0,"-",DRG_09!G5/DRG_08!G5*100-100)</f>
        <v>-43.043049763823795</v>
      </c>
      <c r="H5" s="37">
        <f>IF(DRG_08!H5=0,"-",DRG_09!I5/DRG_08!H5*100-100)</f>
        <v>12.41973442174455</v>
      </c>
      <c r="J5" s="29"/>
      <c r="K5" s="76"/>
      <c r="L5" s="76"/>
      <c r="M5" s="76"/>
    </row>
    <row r="6" spans="1:13" ht="13.5" customHeight="1">
      <c r="A6" s="36">
        <v>1309</v>
      </c>
      <c r="B6" s="36" t="s">
        <v>2</v>
      </c>
      <c r="C6" s="115">
        <f>IF(DRG_08!C6=0,"-",DRG_09!C6/DRG_08!C6*100-100)</f>
        <v>15.479581704656439</v>
      </c>
      <c r="D6" s="115">
        <f>IF(DRG_08!D6=0,"-",DRG_09!D6/DRG_08!D6*100-100)</f>
        <v>15.121567698785569</v>
      </c>
      <c r="E6" s="115">
        <f>IF(DRG_08!E6=0,"-",DRG_09!E6/DRG_08!E6*100-100)</f>
        <v>15.349815285560254</v>
      </c>
      <c r="F6" s="115">
        <f>IF(DRG_08!F6=0,"-",DRG_09!F6/DRG_08!F6*100-100)</f>
        <v>52.85578636171374</v>
      </c>
      <c r="G6" s="115">
        <f>IF(DRG_08!G6=0,"-",DRG_09!G6/DRG_08!G6*100-100)</f>
        <v>-28.465596805773387</v>
      </c>
      <c r="H6" s="37">
        <f>IF(DRG_08!H6=0,"-",DRG_09!I6/DRG_08!H6*100-100)</f>
        <v>14.051078342818911</v>
      </c>
      <c r="J6" s="29"/>
      <c r="K6" s="76"/>
      <c r="L6" s="76"/>
      <c r="M6" s="76"/>
    </row>
    <row r="7" spans="1:13" ht="13.5" customHeight="1">
      <c r="A7" s="36">
        <v>1330</v>
      </c>
      <c r="B7" s="36" t="s">
        <v>3</v>
      </c>
      <c r="C7" s="115">
        <f>IF(DRG_08!C7=0,"-",DRG_09!C7/DRG_08!C7*100-100)</f>
        <v>18.564990249491416</v>
      </c>
      <c r="D7" s="115">
        <f>IF(DRG_08!D7=0,"-",DRG_09!D7/DRG_08!D7*100-100)</f>
        <v>28.747464591051425</v>
      </c>
      <c r="E7" s="115">
        <f>IF(DRG_08!E7=0,"-",DRG_09!E7/DRG_08!E7*100-100)</f>
        <v>21.731258556026063</v>
      </c>
      <c r="F7" s="115">
        <f>IF(DRG_08!F7=0,"-",DRG_09!F7/DRG_08!F7*100-100)</f>
        <v>128.73827219088616</v>
      </c>
      <c r="G7" s="115">
        <f>IF(DRG_08!G7=0,"-",DRG_09!G7/DRG_08!G7*100-100)</f>
        <v>-15.628570053753492</v>
      </c>
      <c r="H7" s="37">
        <f>IF(DRG_08!H7=0,"-",DRG_09!I7/DRG_08!H7*100-100)</f>
        <v>18.341173201999212</v>
      </c>
      <c r="J7" s="29"/>
      <c r="K7" s="76"/>
      <c r="L7" s="76"/>
      <c r="M7" s="76"/>
    </row>
    <row r="8" spans="1:13" ht="13.5" customHeight="1">
      <c r="A8" s="36">
        <v>1351</v>
      </c>
      <c r="B8" s="36" t="s">
        <v>4</v>
      </c>
      <c r="C8" s="115">
        <f>IF(DRG_08!C8=0,"-",DRG_09!C8/DRG_08!C8*100-100)</f>
        <v>-23.987286850034891</v>
      </c>
      <c r="D8" s="115">
        <f>IF(DRG_08!D8=0,"-",DRG_09!D8/DRG_08!D8*100-100)</f>
        <v>-12.790931464452555</v>
      </c>
      <c r="E8" s="115">
        <f>IF(DRG_08!E8=0,"-",DRG_09!E8/DRG_08!E8*100-100)</f>
        <v>-21.372704640093048</v>
      </c>
      <c r="F8" s="115">
        <f>IF(DRG_08!F8=0,"-",DRG_09!F8/DRG_08!F8*100-100)</f>
        <v>-2.1056728427514315</v>
      </c>
      <c r="G8" s="115">
        <f>IF(DRG_08!G8=0,"-",DRG_09!G8/DRG_08!G8*100-100)</f>
        <v>-49.62220375929224</v>
      </c>
      <c r="H8" s="37">
        <f>IF(DRG_08!H8=0,"-",DRG_09!I8/DRG_08!H8*100-100)</f>
        <v>-21.61838336270236</v>
      </c>
      <c r="J8" s="29"/>
      <c r="K8" s="76"/>
      <c r="L8" s="76"/>
      <c r="M8" s="76"/>
    </row>
    <row r="9" spans="1:13" ht="13.5" customHeight="1">
      <c r="A9" s="36">
        <v>1401</v>
      </c>
      <c r="B9" s="36" t="s">
        <v>5</v>
      </c>
      <c r="C9" s="115">
        <f>IF(DRG_08!C9=0,"-",DRG_09!C9/DRG_08!C9*100-100)</f>
        <v>20.809851815747862</v>
      </c>
      <c r="D9" s="115">
        <f>IF(DRG_08!D9=0,"-",DRG_09!D9/DRG_08!D9*100-100)</f>
        <v>-10.320442839520723</v>
      </c>
      <c r="E9" s="115">
        <f>IF(DRG_08!E9=0,"-",DRG_09!E9/DRG_08!E9*100-100)</f>
        <v>9.082358550234602</v>
      </c>
      <c r="F9" s="115">
        <f>IF(DRG_08!F9=0,"-",DRG_09!F9/DRG_08!F9*100-100)</f>
        <v>8.1177418582986718</v>
      </c>
      <c r="G9" s="115">
        <f>IF(DRG_08!G9=0,"-",DRG_09!G9/DRG_08!G9*100-100)</f>
        <v>-31.332019725342903</v>
      </c>
      <c r="H9" s="37">
        <f>IF(DRG_08!H9=0,"-",DRG_09!I9/DRG_08!H9*100-100)</f>
        <v>8.8570036243167891</v>
      </c>
      <c r="J9" s="29"/>
      <c r="K9" s="76"/>
      <c r="L9" s="76"/>
      <c r="M9" s="76"/>
    </row>
    <row r="10" spans="1:13" ht="13.5" customHeight="1">
      <c r="A10" s="36">
        <v>1501</v>
      </c>
      <c r="B10" s="36" t="s">
        <v>6</v>
      </c>
      <c r="C10" s="115">
        <f>IF(DRG_08!C10=0,"-",DRG_09!C10/DRG_08!C10*100-100)</f>
        <v>4.9963680777925958</v>
      </c>
      <c r="D10" s="115">
        <f>IF(DRG_08!D10=0,"-",DRG_09!D10/DRG_08!D10*100-100)</f>
        <v>38.078852224082908</v>
      </c>
      <c r="E10" s="115">
        <f>IF(DRG_08!E10=0,"-",DRG_09!E10/DRG_08!E10*100-100)</f>
        <v>17.706972671994066</v>
      </c>
      <c r="F10" s="115">
        <f>IF(DRG_08!F10=0,"-",DRG_09!F10/DRG_08!F10*100-100)</f>
        <v>130.94761385323656</v>
      </c>
      <c r="G10" s="115">
        <f>IF(DRG_08!G10=0,"-",DRG_09!G10/DRG_08!G10*100-100)</f>
        <v>-26.427816148564474</v>
      </c>
      <c r="H10" s="37">
        <f>IF(DRG_08!H10=0,"-",DRG_09!I10/DRG_08!H10*100-100)</f>
        <v>13.655231269636886</v>
      </c>
      <c r="J10" s="29"/>
      <c r="K10" s="76"/>
      <c r="L10" s="76"/>
      <c r="M10" s="76"/>
    </row>
    <row r="11" spans="1:13" ht="13.5" customHeight="1">
      <c r="A11" s="36">
        <v>1502</v>
      </c>
      <c r="B11" s="36" t="s">
        <v>7</v>
      </c>
      <c r="C11" s="115">
        <f>IF(DRG_08!C11=0,"-",DRG_09!C11/DRG_08!C11*100-100)</f>
        <v>-12.867611419183447</v>
      </c>
      <c r="D11" s="115">
        <f>IF(DRG_08!D11=0,"-",DRG_09!D11/DRG_08!D11*100-100)</f>
        <v>22.768437322119311</v>
      </c>
      <c r="E11" s="115">
        <f>IF(DRG_08!E11=0,"-",DRG_09!E11/DRG_08!E11*100-100)</f>
        <v>1.1438844068017602</v>
      </c>
      <c r="F11" s="115">
        <f>IF(DRG_08!F11=0,"-",DRG_09!F11/DRG_08!F11*100-100)</f>
        <v>120.32296835663371</v>
      </c>
      <c r="G11" s="115">
        <f>IF(DRG_08!G11=0,"-",DRG_09!G11/DRG_08!G11*100-100)</f>
        <v>-14.320745912815042</v>
      </c>
      <c r="H11" s="37">
        <f>IF(DRG_08!H11=0,"-",DRG_09!I11/DRG_08!H11*100-100)</f>
        <v>-1.7014118552542215</v>
      </c>
      <c r="J11" s="29"/>
      <c r="K11" s="76"/>
      <c r="L11" s="76"/>
      <c r="M11" s="76"/>
    </row>
    <row r="12" spans="1:13" ht="13.5" customHeight="1">
      <c r="A12" s="36">
        <v>1516</v>
      </c>
      <c r="B12" s="36" t="s">
        <v>8</v>
      </c>
      <c r="C12" s="115">
        <f>IF(DRG_08!C12=0,"-",DRG_09!C12/DRG_08!C12*100-100)</f>
        <v>20.148003376775847</v>
      </c>
      <c r="D12" s="115">
        <f>IF(DRG_08!D12=0,"-",DRG_09!D12/DRG_08!D12*100-100)</f>
        <v>12.937996784804582</v>
      </c>
      <c r="E12" s="115">
        <f>IF(DRG_08!E12=0,"-",DRG_09!E12/DRG_08!E12*100-100)</f>
        <v>16.484301539535579</v>
      </c>
      <c r="F12" s="115">
        <f>IF(DRG_08!F12=0,"-",DRG_09!F12/DRG_08!F12*100-100)</f>
        <v>7.3476105218593091</v>
      </c>
      <c r="G12" s="115">
        <f>IF(DRG_08!G12=0,"-",DRG_09!G12/DRG_08!G12*100-100)</f>
        <v>-22.465736541755874</v>
      </c>
      <c r="H12" s="37">
        <f>IF(DRG_08!H12=0,"-",DRG_09!I12/DRG_08!H12*100-100)</f>
        <v>17.981768803811732</v>
      </c>
      <c r="J12" s="29"/>
      <c r="K12" s="76"/>
      <c r="L12" s="76"/>
      <c r="M12" s="76"/>
    </row>
    <row r="13" spans="1:13" ht="13.5" customHeight="1">
      <c r="A13" s="36">
        <v>2000</v>
      </c>
      <c r="B13" s="36" t="s">
        <v>9</v>
      </c>
      <c r="C13" s="115">
        <f>IF(DRG_08!C13=0,"-",DRG_09!C13/DRG_08!C13*100-100)</f>
        <v>4.904174717971614</v>
      </c>
      <c r="D13" s="115">
        <f>IF(DRG_08!D13=0,"-",DRG_09!D13/DRG_08!D13*100-100)</f>
        <v>4.7300854734747162</v>
      </c>
      <c r="E13" s="115">
        <f>IF(DRG_08!E13=0,"-",DRG_09!E13/DRG_08!E13*100-100)</f>
        <v>4.8467244219892507</v>
      </c>
      <c r="F13" s="115">
        <f>IF(DRG_08!F13=0,"-",DRG_09!F13/DRG_08!F13*100-100)</f>
        <v>-1.7965914422498201</v>
      </c>
      <c r="G13" s="115">
        <f>IF(DRG_08!G13=0,"-",DRG_09!G13/DRG_08!G13*100-100)</f>
        <v>-39.021043175252871</v>
      </c>
      <c r="H13" s="37">
        <f>IF(DRG_08!H13=0,"-",DRG_09!I13/DRG_08!H13*100-100)</f>
        <v>4.914326731162987</v>
      </c>
      <c r="J13" s="29"/>
      <c r="K13" s="76"/>
      <c r="L13" s="76"/>
      <c r="M13" s="76"/>
    </row>
    <row r="14" spans="1:13" ht="13.5" customHeight="1">
      <c r="A14" s="36">
        <v>4001</v>
      </c>
      <c r="B14" s="36" t="s">
        <v>11</v>
      </c>
      <c r="C14" s="115">
        <f>IF(DRG_08!C14=0,"-",DRG_09!C14/DRG_08!C14*100-100)</f>
        <v>6.2081224501802268</v>
      </c>
      <c r="D14" s="115">
        <f>IF(DRG_08!D14=0,"-",DRG_09!D14/DRG_08!D14*100-100)</f>
        <v>10.168865220198953</v>
      </c>
      <c r="E14" s="115">
        <f>IF(DRG_08!E14=0,"-",DRG_09!E14/DRG_08!E14*100-100)</f>
        <v>7.7494147874382264</v>
      </c>
      <c r="F14" s="115">
        <f>IF(DRG_08!F14=0,"-",DRG_09!F14/DRG_08!F14*100-100)</f>
        <v>27.724460474337903</v>
      </c>
      <c r="G14" s="115">
        <f>IF(DRG_08!G14=0,"-",DRG_09!G14/DRG_08!G14*100-100)</f>
        <v>-34.929199502224321</v>
      </c>
      <c r="H14" s="37">
        <f>IF(DRG_08!H14=0,"-",DRG_09!I14/DRG_08!H14*100-100)</f>
        <v>6.9709215340948418</v>
      </c>
      <c r="J14" s="29"/>
      <c r="K14" s="76"/>
      <c r="L14" s="76"/>
      <c r="M14" s="76"/>
    </row>
    <row r="15" spans="1:13" ht="13.5" customHeight="1">
      <c r="A15" s="36">
        <v>2500</v>
      </c>
      <c r="B15" s="36" t="s">
        <v>10</v>
      </c>
      <c r="C15" s="116">
        <f>IF(DRG_08!C15=0,"-",DRG_09!C15/DRG_08!C15*100-100)</f>
        <v>1.8983016373319117</v>
      </c>
      <c r="D15" s="116">
        <f>IF(DRG_08!D15=0,"-",DRG_09!D15/DRG_08!D15*100-100)</f>
        <v>13.677091675150137</v>
      </c>
      <c r="E15" s="116">
        <f>IF(DRG_08!E15=0,"-",DRG_09!E15/DRG_08!E15*100-100)</f>
        <v>6.3318701254334542</v>
      </c>
      <c r="F15" s="116">
        <f>IF(DRG_08!F15=0,"-",DRG_09!F15/DRG_08!F15*100-100)</f>
        <v>17.752321002778217</v>
      </c>
      <c r="G15" s="116">
        <f>IF(DRG_08!G15=0,"-",DRG_09!G15/DRG_08!G15*100-100)</f>
        <v>923.60089807754912</v>
      </c>
      <c r="H15" s="37">
        <f>IF(DRG_08!H15=0,"-",DRG_09!I15/DRG_08!H15*100-100)</f>
        <v>6.6413837708164465</v>
      </c>
      <c r="J15" s="29"/>
      <c r="K15" s="76"/>
      <c r="L15" s="76"/>
      <c r="M15" s="76"/>
    </row>
    <row r="16" spans="1:13" ht="13.5" customHeight="1">
      <c r="A16" s="36">
        <v>2501</v>
      </c>
      <c r="B16" s="36" t="s">
        <v>56</v>
      </c>
      <c r="C16" s="116">
        <f>IF(DRG_08!C16=0,"-",DRG_09!C16/DRG_08!C16*100-100)</f>
        <v>9.832445549859159</v>
      </c>
      <c r="D16" s="116">
        <f>IF(DRG_08!D16=0,"-",DRG_09!D16/DRG_08!D16*100-100)</f>
        <v>12.857854286600428</v>
      </c>
      <c r="E16" s="116">
        <f>IF(DRG_08!E16=0,"-",DRG_09!E16/DRG_08!E16*100-100)</f>
        <v>11.009132858092173</v>
      </c>
      <c r="F16" s="116">
        <f>IF(DRG_08!F16=0,"-",DRG_09!F16/DRG_08!F16*100-100)</f>
        <v>22.774933803177035</v>
      </c>
      <c r="G16" s="116">
        <f>IF(DRG_08!G16=0,"-",DRG_09!G16/DRG_08!G16*100-100)</f>
        <v>-327.3888443738914</v>
      </c>
      <c r="H16" s="37">
        <f>IF(DRG_08!H16=0,"-",DRG_09!I16/DRG_08!H16*100-100)</f>
        <v>12.006492485851126</v>
      </c>
      <c r="J16" s="29"/>
      <c r="K16" s="76"/>
      <c r="L16" s="76"/>
      <c r="M16" s="76"/>
    </row>
    <row r="17" spans="1:13" ht="13.5" customHeight="1">
      <c r="A17" s="36">
        <v>4202</v>
      </c>
      <c r="B17" s="36" t="s">
        <v>12</v>
      </c>
      <c r="C17" s="115">
        <f>IF(DRG_08!C17=0,"-",DRG_09!C17/DRG_08!C17*100-100)</f>
        <v>4.8881882861762307</v>
      </c>
      <c r="D17" s="115">
        <f>IF(DRG_08!D17=0,"-",DRG_09!D17/DRG_08!D17*100-100)</f>
        <v>16.13358405884027</v>
      </c>
      <c r="E17" s="115">
        <f>IF(DRG_08!E17=0,"-",DRG_09!E17/DRG_08!E17*100-100)</f>
        <v>9.5707076958165374</v>
      </c>
      <c r="F17" s="115">
        <f>IF(DRG_08!F17=0,"-",DRG_09!F17/DRG_08!F17*100-100)</f>
        <v>14.636893833492095</v>
      </c>
      <c r="G17" s="115">
        <f>IF(DRG_08!G17=0,"-",DRG_09!G17/DRG_08!G17*100-100)</f>
        <v>146.26681464458571</v>
      </c>
      <c r="H17" s="37">
        <f>IF(DRG_08!H17=0,"-",DRG_09!I17/DRG_08!H17*100-100)</f>
        <v>8.9459034140607372</v>
      </c>
      <c r="J17" s="29"/>
      <c r="K17" s="76"/>
      <c r="L17" s="76"/>
      <c r="M17" s="76"/>
    </row>
    <row r="18" spans="1:13" ht="13.5" customHeight="1">
      <c r="A18" s="36">
        <v>4212</v>
      </c>
      <c r="B18" s="36" t="s">
        <v>50</v>
      </c>
      <c r="C18" s="115">
        <f>IF(DRG_08!C18=0,"-",DRG_09!C18/DRG_08!C18*100-100)</f>
        <v>7.6553701851969294</v>
      </c>
      <c r="D18" s="115">
        <f>IF(DRG_08!D18=0,"-",DRG_09!D18/DRG_08!D18*100-100)</f>
        <v>11.00139309080464</v>
      </c>
      <c r="E18" s="115">
        <f>IF(DRG_08!E18=0,"-",DRG_09!E18/DRG_08!E18*100-100)</f>
        <v>8.8786507552701295</v>
      </c>
      <c r="F18" s="115">
        <f>IF(DRG_08!F18=0,"-",DRG_09!F18/DRG_08!F18*100-100)</f>
        <v>72.420129884050056</v>
      </c>
      <c r="G18" s="115">
        <f>IF(DRG_08!G18=0,"-",DRG_09!G18/DRG_08!G18*100-100)</f>
        <v>6.0474349685653976</v>
      </c>
      <c r="H18" s="37">
        <f>IF(DRG_08!H18=0,"-",DRG_09!I18/DRG_08!H18*100-100)</f>
        <v>8.3889300844351737</v>
      </c>
      <c r="J18" s="29"/>
      <c r="K18" s="76"/>
      <c r="L18" s="76"/>
      <c r="M18" s="76"/>
    </row>
    <row r="19" spans="1:13" ht="13.5" customHeight="1">
      <c r="A19" s="36">
        <v>5000</v>
      </c>
      <c r="B19" s="36" t="s">
        <v>57</v>
      </c>
      <c r="C19" s="115">
        <f>IF(DRG_08!C19=0,"-",DRG_09!C19/DRG_08!C19*100-100)</f>
        <v>2.4887160377873982</v>
      </c>
      <c r="D19" s="115">
        <f>IF(DRG_08!D19=0,"-",DRG_09!D19/DRG_08!D19*100-100)</f>
        <v>12.433175669939601</v>
      </c>
      <c r="E19" s="115">
        <f>IF(DRG_08!E19=0,"-",DRG_09!E19/DRG_08!E19*100-100)</f>
        <v>6.6594618029606636</v>
      </c>
      <c r="F19" s="115">
        <f>IF(DRG_08!F19=0,"-",DRG_09!F19/DRG_08!F19*100-100)</f>
        <v>36.843117758634577</v>
      </c>
      <c r="G19" s="115">
        <f>IF(DRG_08!G19=0,"-",DRG_09!G19/DRG_08!G19*100-100)</f>
        <v>13.751199339607936</v>
      </c>
      <c r="H19" s="37">
        <f>IF(DRG_08!H19=0,"-",DRG_09!I19/DRG_08!H19*100-100)</f>
        <v>5.3996475900485876</v>
      </c>
      <c r="J19" s="29"/>
      <c r="K19" s="76"/>
      <c r="L19" s="76"/>
      <c r="M19" s="76"/>
    </row>
    <row r="20" spans="1:13" ht="13.5" customHeight="1">
      <c r="A20" s="36">
        <v>5501</v>
      </c>
      <c r="B20" s="36" t="s">
        <v>13</v>
      </c>
      <c r="C20" s="115">
        <f>IF(DRG_08!C20=0,"-",DRG_09!C20/DRG_08!C20*100-100)</f>
        <v>0.13939805894362678</v>
      </c>
      <c r="D20" s="115">
        <f>IF(DRG_08!D20=0,"-",DRG_09!D20/DRG_08!D20*100-100)</f>
        <v>16.365694701016878</v>
      </c>
      <c r="E20" s="115">
        <f>IF(DRG_08!E20=0,"-",DRG_09!E20/DRG_08!E20*100-100)</f>
        <v>6.6706607801961297</v>
      </c>
      <c r="F20" s="115">
        <f>IF(DRG_08!F20=0,"-",DRG_09!F20/DRG_08!F20*100-100)</f>
        <v>32.3804434798123</v>
      </c>
      <c r="G20" s="115">
        <f>IF(DRG_08!G20=0,"-",DRG_09!G20/DRG_08!G20*100-100)</f>
        <v>-38.805192262670744</v>
      </c>
      <c r="H20" s="37">
        <f>IF(DRG_08!H20=0,"-",DRG_09!I20/DRG_08!H20*100-100)</f>
        <v>4.675085972423048</v>
      </c>
      <c r="J20" s="29"/>
      <c r="K20" s="76"/>
      <c r="L20" s="76"/>
      <c r="M20" s="76"/>
    </row>
    <row r="21" spans="1:13" ht="13.5" customHeight="1">
      <c r="A21" s="36">
        <v>6007</v>
      </c>
      <c r="B21" s="36" t="s">
        <v>14</v>
      </c>
      <c r="C21" s="115">
        <f>IF(DRG_08!C21=0,"-",DRG_09!C21/DRG_08!C21*100-100)</f>
        <v>6.2321188673610095</v>
      </c>
      <c r="D21" s="115">
        <f>IF(DRG_08!D21=0,"-",DRG_09!D21/DRG_08!D21*100-100)</f>
        <v>18.786794217605944</v>
      </c>
      <c r="E21" s="115">
        <f>IF(DRG_08!E21=0,"-",DRG_09!E21/DRG_08!E21*100-100)</f>
        <v>10.643570013720776</v>
      </c>
      <c r="F21" s="115">
        <f>IF(DRG_08!F21=0,"-",DRG_09!F21/DRG_08!F21*100-100)</f>
        <v>30.325698367791517</v>
      </c>
      <c r="G21" s="115">
        <f>IF(DRG_08!G21=0,"-",DRG_09!G21/DRG_08!G21*100-100)</f>
        <v>-35.006893511911429</v>
      </c>
      <c r="H21" s="37">
        <f>IF(DRG_08!H21=0,"-",DRG_09!I21/DRG_08!H21*100-100)</f>
        <v>10.025010408237932</v>
      </c>
      <c r="J21" s="29"/>
      <c r="K21" s="76"/>
      <c r="L21" s="76"/>
      <c r="M21" s="76"/>
    </row>
    <row r="22" spans="1:13" ht="13.5" customHeight="1">
      <c r="A22" s="36">
        <v>6008</v>
      </c>
      <c r="B22" s="36" t="s">
        <v>85</v>
      </c>
      <c r="C22" s="115">
        <f>IF(DRG_08!C22=0,"-",DRG_09!C22/DRG_08!C22*100-100)</f>
        <v>6.3903213184105283</v>
      </c>
      <c r="D22" s="115">
        <f>IF(DRG_08!D22=0,"-",DRG_09!D22/DRG_08!D22*100-100)</f>
        <v>18.0856019400631</v>
      </c>
      <c r="E22" s="115">
        <f>IF(DRG_08!E22=0,"-",DRG_09!E22/DRG_08!E22*100-100)</f>
        <v>13.204793292375868</v>
      </c>
      <c r="F22" s="115">
        <f>IF(DRG_08!F22=0,"-",DRG_09!F22/DRG_08!F22*100-100)</f>
        <v>12.501246295865371</v>
      </c>
      <c r="G22" s="115">
        <f>IF(DRG_08!G22=0,"-",DRG_09!G22/DRG_08!G22*100-100)</f>
        <v>24.263017114067893</v>
      </c>
      <c r="H22" s="37">
        <f>IF(DRG_08!H22=0,"-",DRG_09!I22/DRG_08!H22*100-100)</f>
        <v>13.197011525919123</v>
      </c>
      <c r="J22" s="29"/>
      <c r="K22" s="76"/>
      <c r="L22" s="76"/>
      <c r="M22" s="76"/>
    </row>
    <row r="23" spans="1:13" ht="13.5" customHeight="1">
      <c r="A23" s="36">
        <v>6013</v>
      </c>
      <c r="B23" s="36" t="s">
        <v>73</v>
      </c>
      <c r="C23" s="115">
        <f>IF(DRG_08!C23=0,"-",DRG_09!C23/DRG_08!C23*100-100)</f>
        <v>117.26657047135342</v>
      </c>
      <c r="D23" s="115">
        <f>IF(DRG_08!D23=0,"-",DRG_09!D23/DRG_08!D23*100-100)</f>
        <v>77.393062876952968</v>
      </c>
      <c r="E23" s="115">
        <f>IF(DRG_08!E23=0,"-",DRG_09!E23/DRG_08!E23*100-100)</f>
        <v>100.06168276092987</v>
      </c>
      <c r="F23" s="115" t="str">
        <f>IF(DRG_08!F23=0,"-",DRG_09!F23/DRG_08!F23*100-100)</f>
        <v>-</v>
      </c>
      <c r="G23" s="115">
        <f>IF(DRG_08!G23=0,"-",DRG_09!G23/DRG_08!G23*100-100)</f>
        <v>32.971301289396592</v>
      </c>
      <c r="H23" s="37">
        <f>IF(DRG_08!H23=0,"-",DRG_09!I23/DRG_08!H23*100-100)</f>
        <v>99.737878427841565</v>
      </c>
      <c r="J23" s="29"/>
      <c r="K23" s="76"/>
      <c r="L23" s="76"/>
      <c r="M23" s="76"/>
    </row>
    <row r="24" spans="1:13" ht="13.5" customHeight="1">
      <c r="A24" s="36">
        <v>6014</v>
      </c>
      <c r="B24" s="36" t="s">
        <v>74</v>
      </c>
      <c r="C24" s="115" t="str">
        <f>IF(DRG_08!C24=0,"-",DRG_09!C24/DRG_08!C24*100-100)</f>
        <v>-</v>
      </c>
      <c r="D24" s="115">
        <f>IF(DRG_08!D24=0,"-",DRG_09!D24/DRG_08!D24*100-100)</f>
        <v>15.7328354471137</v>
      </c>
      <c r="E24" s="115">
        <f>IF(DRG_08!E24=0,"-",DRG_09!E24/DRG_08!E24*100-100)</f>
        <v>15.7328354471137</v>
      </c>
      <c r="F24" s="115" t="str">
        <f>IF(DRG_08!F24=0,"-",DRG_09!F24/DRG_08!F24*100-100)</f>
        <v>-</v>
      </c>
      <c r="G24" s="115" t="str">
        <f>IF(DRG_08!G24=0,"-",DRG_09!G24/DRG_08!G24*100-100)</f>
        <v>-</v>
      </c>
      <c r="H24" s="37">
        <f>IF(DRG_08!H24=0,"-",DRG_09!I24/DRG_08!H24*100-100)</f>
        <v>15.7328354471137</v>
      </c>
      <c r="J24" s="29"/>
      <c r="K24" s="76"/>
      <c r="L24" s="76"/>
      <c r="M24" s="76"/>
    </row>
    <row r="25" spans="1:13" ht="13.5" customHeight="1">
      <c r="A25" s="36">
        <v>6006</v>
      </c>
      <c r="B25" s="36" t="s">
        <v>51</v>
      </c>
      <c r="C25" s="115">
        <f>IF(DRG_08!C25=0,"-",DRG_09!C25/DRG_08!C25*100-100)</f>
        <v>3.7350723700075434</v>
      </c>
      <c r="D25" s="115">
        <f>IF(DRG_08!D25=0,"-",DRG_09!D25/DRG_08!D25*100-100)</f>
        <v>6.2852858797414797</v>
      </c>
      <c r="E25" s="115">
        <f>IF(DRG_08!E25=0,"-",DRG_09!E25/DRG_08!E25*100-100)</f>
        <v>4.7547459866746493</v>
      </c>
      <c r="F25" s="115">
        <f>IF(DRG_08!F25=0,"-",DRG_09!F25/DRG_08!F25*100-100)</f>
        <v>112.26829182587835</v>
      </c>
      <c r="G25" s="115">
        <f>IF(DRG_08!G25=0,"-",DRG_09!G25/DRG_08!G25*100-100)</f>
        <v>-36.708715721077176</v>
      </c>
      <c r="H25" s="37">
        <f>IF(DRG_08!H25=0,"-",DRG_09!I25/DRG_08!H25*100-100)</f>
        <v>3.5484233886023731</v>
      </c>
      <c r="J25" s="29"/>
      <c r="K25" s="76"/>
      <c r="L25" s="76"/>
      <c r="M25" s="76"/>
    </row>
    <row r="26" spans="1:13" ht="13.5" customHeight="1">
      <c r="A26" s="36">
        <v>6500</v>
      </c>
      <c r="B26" s="36" t="s">
        <v>15</v>
      </c>
      <c r="C26" s="115">
        <f>IF(DRG_08!C26=0,"-",DRG_09!C26/DRG_08!C26*100-100)</f>
        <v>2.6033472137139597</v>
      </c>
      <c r="D26" s="115">
        <f>IF(DRG_08!D26=0,"-",DRG_09!D26/DRG_08!D26*100-100)</f>
        <v>9.7588393709945507</v>
      </c>
      <c r="E26" s="115">
        <f>IF(DRG_08!E26=0,"-",DRG_09!E26/DRG_08!E26*100-100)</f>
        <v>5.394818899826717</v>
      </c>
      <c r="F26" s="115">
        <f>IF(DRG_08!F26=0,"-",DRG_09!F26/DRG_08!F26*100-100)</f>
        <v>14.236958324921517</v>
      </c>
      <c r="G26" s="115">
        <f>IF(DRG_08!G26=0,"-",DRG_09!G26/DRG_08!G26*100-100)</f>
        <v>17.570939261238976</v>
      </c>
      <c r="H26" s="37">
        <f>IF(DRG_08!H26=0,"-",DRG_09!I26/DRG_08!H26*100-100)</f>
        <v>4.5450204965324303</v>
      </c>
      <c r="J26" s="29"/>
      <c r="K26" s="76"/>
      <c r="L26" s="76"/>
      <c r="M26" s="76"/>
    </row>
    <row r="27" spans="1:13" ht="13.5" customHeight="1">
      <c r="A27" s="36">
        <v>7002</v>
      </c>
      <c r="B27" s="36" t="s">
        <v>16</v>
      </c>
      <c r="C27" s="115">
        <f>IF(DRG_08!C27=0,"-",DRG_09!C27/DRG_08!C27*100-100)</f>
        <v>-3.8312126978047871</v>
      </c>
      <c r="D27" s="115">
        <f>IF(DRG_08!D27=0,"-",DRG_09!D27/DRG_08!D27*100-100)</f>
        <v>18.697280415816437</v>
      </c>
      <c r="E27" s="115">
        <f>IF(DRG_08!E27=0,"-",DRG_09!E27/DRG_08!E27*100-100)</f>
        <v>4.4323499061014218</v>
      </c>
      <c r="F27" s="115">
        <f>IF(DRG_08!F27=0,"-",DRG_09!F27/DRG_08!F27*100-100)</f>
        <v>60.130672936704883</v>
      </c>
      <c r="G27" s="115">
        <f>IF(DRG_08!G27=0,"-",DRG_09!G27/DRG_08!G27*100-100)</f>
        <v>-41.938579214398388</v>
      </c>
      <c r="H27" s="37">
        <f>IF(DRG_08!H27=0,"-",DRG_09!I27/DRG_08!H27*100-100)</f>
        <v>1.7616508482368687</v>
      </c>
      <c r="J27" s="29"/>
      <c r="K27" s="76"/>
      <c r="L27" s="76"/>
      <c r="M27" s="76"/>
    </row>
    <row r="28" spans="1:13" ht="13.5" customHeight="1">
      <c r="A28" s="36">
        <v>7003</v>
      </c>
      <c r="B28" s="36" t="s">
        <v>17</v>
      </c>
      <c r="C28" s="115">
        <f>IF(DRG_08!C28=0,"-",DRG_09!C28/DRG_08!C28*100-100)</f>
        <v>6.4076311338388621</v>
      </c>
      <c r="D28" s="115">
        <f>IF(DRG_08!D28=0,"-",DRG_09!D28/DRG_08!D28*100-100)</f>
        <v>18.441045593733918</v>
      </c>
      <c r="E28" s="115">
        <f>IF(DRG_08!E28=0,"-",DRG_09!E28/DRG_08!E28*100-100)</f>
        <v>11.701436308692223</v>
      </c>
      <c r="F28" s="115">
        <f>IF(DRG_08!F28=0,"-",DRG_09!F28/DRG_08!F28*100-100)</f>
        <v>21.186436842443058</v>
      </c>
      <c r="G28" s="115">
        <f>IF(DRG_08!G28=0,"-",DRG_09!G28/DRG_08!G28*100-100)</f>
        <v>3.8463219082120759</v>
      </c>
      <c r="H28" s="37">
        <f>IF(DRG_08!H28=0,"-",DRG_09!I28/DRG_08!H28*100-100)</f>
        <v>10.889027872746212</v>
      </c>
      <c r="J28" s="29"/>
      <c r="K28" s="76"/>
      <c r="L28" s="76"/>
      <c r="M28" s="76"/>
    </row>
    <row r="29" spans="1:13" ht="13.5" customHeight="1">
      <c r="A29" s="36">
        <v>7005</v>
      </c>
      <c r="B29" s="36" t="s">
        <v>18</v>
      </c>
      <c r="C29" s="115">
        <f>IF(DRG_08!C29=0,"-",DRG_09!C29/DRG_08!C29*100-100)</f>
        <v>4.4428277117480377</v>
      </c>
      <c r="D29" s="115">
        <f>IF(DRG_08!D29=0,"-",DRG_09!D29/DRG_08!D29*100-100)</f>
        <v>17.158850074042348</v>
      </c>
      <c r="E29" s="115">
        <f>IF(DRG_08!E29=0,"-",DRG_09!E29/DRG_08!E29*100-100)</f>
        <v>9.4565872655405769</v>
      </c>
      <c r="F29" s="115">
        <f>IF(DRG_08!F29=0,"-",DRG_09!F29/DRG_08!F29*100-100)</f>
        <v>35.321165013147748</v>
      </c>
      <c r="G29" s="115">
        <f>IF(DRG_08!G29=0,"-",DRG_09!G29/DRG_08!G29*100-100)</f>
        <v>39.385100891497217</v>
      </c>
      <c r="H29" s="37">
        <f>IF(DRG_08!H29=0,"-",DRG_09!I29/DRG_08!H29*100-100)</f>
        <v>9.4881826965184075</v>
      </c>
      <c r="J29" s="29"/>
      <c r="K29" s="76"/>
      <c r="L29" s="76"/>
      <c r="M29" s="76"/>
    </row>
    <row r="30" spans="1:13" ht="13.5" customHeight="1">
      <c r="A30" s="36">
        <v>7026</v>
      </c>
      <c r="B30" s="36" t="s">
        <v>52</v>
      </c>
      <c r="C30" s="116">
        <f>IF(DRG_08!C30=0,"-",DRG_09!C30/DRG_08!C30*100-100)</f>
        <v>7.9934410757576302</v>
      </c>
      <c r="D30" s="116">
        <f>IF(DRG_08!D30=0,"-",DRG_09!D30/DRG_08!D30*100-100)</f>
        <v>10.651347424425865</v>
      </c>
      <c r="E30" s="116">
        <f>IF(DRG_08!E30=0,"-",DRG_09!E30/DRG_08!E30*100-100)</f>
        <v>8.6300241932242301</v>
      </c>
      <c r="F30" s="116">
        <f>IF(DRG_08!F30=0,"-",DRG_09!F30/DRG_08!F30*100-100)</f>
        <v>19.682101572533313</v>
      </c>
      <c r="G30" s="116">
        <f>IF(DRG_08!G30=0,"-",DRG_09!G30/DRG_08!G30*100-100)</f>
        <v>-34.002505979997707</v>
      </c>
      <c r="H30" s="37">
        <f>IF(DRG_08!H30=0,"-",DRG_09!I30/DRG_08!H30*100-100)</f>
        <v>8.1059149536831114</v>
      </c>
      <c r="J30" s="29"/>
      <c r="K30" s="76"/>
      <c r="L30" s="76"/>
      <c r="M30" s="76"/>
    </row>
    <row r="31" spans="1:13" ht="13.5" customHeight="1">
      <c r="A31" s="36">
        <v>7601</v>
      </c>
      <c r="B31" s="36" t="s">
        <v>53</v>
      </c>
      <c r="C31" s="116">
        <f>IF(DRG_08!C31=0,"-",DRG_09!C31/DRG_08!C31*100-100)</f>
        <v>6.4042128741105984</v>
      </c>
      <c r="D31" s="116">
        <f>IF(DRG_08!D31=0,"-",DRG_09!D31/DRG_08!D31*100-100)</f>
        <v>10.376787472467242</v>
      </c>
      <c r="E31" s="116">
        <f>IF(DRG_08!E31=0,"-",DRG_09!E31/DRG_08!E31*100-100)</f>
        <v>7.929729519219137</v>
      </c>
      <c r="F31" s="116">
        <f>IF(DRG_08!F31=0,"-",DRG_09!F31/DRG_08!F31*100-100)</f>
        <v>16.855954518088595</v>
      </c>
      <c r="G31" s="116">
        <f>IF(DRG_08!G31=0,"-",DRG_09!G31/DRG_08!G31*100-100)</f>
        <v>-35.307749251853835</v>
      </c>
      <c r="H31" s="37">
        <f>IF(DRG_08!H31=0,"-",DRG_09!I31/DRG_08!H31*100-100)</f>
        <v>6.9959131923952356</v>
      </c>
      <c r="J31" s="29"/>
      <c r="K31" s="76"/>
      <c r="L31" s="76"/>
      <c r="M31" s="76"/>
    </row>
    <row r="32" spans="1:13" ht="13.5" customHeight="1">
      <c r="A32" s="36">
        <v>7603</v>
      </c>
      <c r="B32" s="36" t="s">
        <v>19</v>
      </c>
      <c r="C32" s="116">
        <f>IF(DRG_08!C32=0,"-",DRG_09!C32/DRG_08!C32*100-100)</f>
        <v>3.5146720610317743</v>
      </c>
      <c r="D32" s="116">
        <f>IF(DRG_08!D32=0,"-",DRG_09!D32/DRG_08!D32*100-100)</f>
        <v>17.650037491401079</v>
      </c>
      <c r="E32" s="116">
        <f>IF(DRG_08!E32=0,"-",DRG_09!E32/DRG_08!E32*100-100)</f>
        <v>8.1422511969430929</v>
      </c>
      <c r="F32" s="116">
        <f>IF(DRG_08!F32=0,"-",DRG_09!F32/DRG_08!F32*100-100)</f>
        <v>1.9262073739379133</v>
      </c>
      <c r="G32" s="116">
        <f>IF(DRG_08!G32=0,"-",DRG_09!G32/DRG_08!G32*100-100)</f>
        <v>-36.605939795149176</v>
      </c>
      <c r="H32" s="37">
        <f>IF(DRG_08!H32=0,"-",DRG_09!I32/DRG_08!H32*100-100)</f>
        <v>7.8889886520009327</v>
      </c>
      <c r="J32" s="29"/>
      <c r="K32" s="76"/>
      <c r="L32" s="76"/>
      <c r="M32" s="76"/>
    </row>
    <row r="33" spans="1:13" ht="13.5" customHeight="1">
      <c r="A33" s="36">
        <v>8001</v>
      </c>
      <c r="B33" s="36" t="s">
        <v>54</v>
      </c>
      <c r="C33" s="116">
        <f>IF(DRG_08!C33=0,"-",DRG_09!C33/DRG_08!C33*100-100)</f>
        <v>7.4290181990291302</v>
      </c>
      <c r="D33" s="116">
        <f>IF(DRG_08!D33=0,"-",DRG_09!D33/DRG_08!D33*100-100)</f>
        <v>15.610491861344002</v>
      </c>
      <c r="E33" s="116">
        <f>IF(DRG_08!E33=0,"-",DRG_09!E33/DRG_08!E33*100-100)</f>
        <v>10.786359197851866</v>
      </c>
      <c r="F33" s="116">
        <f>IF(DRG_08!F33=0,"-",DRG_09!F33/DRG_08!F33*100-100)</f>
        <v>11.126360611135098</v>
      </c>
      <c r="G33" s="116">
        <f>IF(DRG_08!G33=0,"-",DRG_09!G33/DRG_08!G33*100-100)</f>
        <v>-34.227637064613532</v>
      </c>
      <c r="H33" s="37">
        <f>IF(DRG_08!H33=0,"-",DRG_09!I33/DRG_08!H33*100-100)</f>
        <v>10.508617896745861</v>
      </c>
      <c r="I33" s="9"/>
      <c r="J33" s="29"/>
      <c r="K33" s="76"/>
      <c r="L33" s="76"/>
      <c r="M33" s="76"/>
    </row>
    <row r="34" spans="1:13" ht="13.5" customHeight="1">
      <c r="A34" s="36">
        <v>8003</v>
      </c>
      <c r="B34" s="36" t="s">
        <v>20</v>
      </c>
      <c r="C34" s="116">
        <f>IF(DRG_08!C34=0,"-",DRG_09!C34/DRG_08!C34*100-100)</f>
        <v>5.2091750783401523</v>
      </c>
      <c r="D34" s="116">
        <f>IF(DRG_08!D34=0,"-",DRG_09!D34/DRG_08!D34*100-100)</f>
        <v>13.676459364755857</v>
      </c>
      <c r="E34" s="116">
        <f>IF(DRG_08!E34=0,"-",DRG_09!E34/DRG_08!E34*100-100)</f>
        <v>8.1234138538545579</v>
      </c>
      <c r="F34" s="116">
        <f>IF(DRG_08!F34=0,"-",DRG_09!F34/DRG_08!F34*100-100)</f>
        <v>14.884943603073793</v>
      </c>
      <c r="G34" s="116">
        <f>IF(DRG_08!G34=0,"-",DRG_09!G34/DRG_08!G34*100-100)</f>
        <v>-35.623378683171197</v>
      </c>
      <c r="H34" s="37">
        <f>IF(DRG_08!H34=0,"-",DRG_09!I34/DRG_08!H34*100-100)</f>
        <v>7.3342330947709939</v>
      </c>
      <c r="I34" s="9"/>
      <c r="J34" s="29"/>
      <c r="K34" s="76"/>
      <c r="L34" s="76"/>
      <c r="M34" s="76"/>
    </row>
    <row r="35" spans="1:13" ht="13.5" customHeight="1">
      <c r="A35" s="36">
        <v>8005</v>
      </c>
      <c r="B35" s="36" t="s">
        <v>21</v>
      </c>
      <c r="C35" s="116">
        <f>IF(DRG_08!C35=0,"-",DRG_09!C35/DRG_08!C35*100-100)</f>
        <v>2.9045121167415573</v>
      </c>
      <c r="D35" s="116">
        <f>IF(DRG_08!D35=0,"-",DRG_09!D35/DRG_08!D35*100-100)</f>
        <v>23.587661210989921</v>
      </c>
      <c r="E35" s="116">
        <f>IF(DRG_08!E35=0,"-",DRG_09!E35/DRG_08!E35*100-100)</f>
        <v>6.9042386383080725</v>
      </c>
      <c r="F35" s="116" t="str">
        <f>IF(DRG_08!F35=0,"-",DRG_09!F35/DRG_08!F35*100-100)</f>
        <v>-</v>
      </c>
      <c r="G35" s="116">
        <f>IF(DRG_08!G35=0,"-",DRG_09!G35/DRG_08!G35*100-100)</f>
        <v>-36.90159178740965</v>
      </c>
      <c r="H35" s="37">
        <f>IF(DRG_08!H35=0,"-",DRG_09!I35/DRG_08!H35*100-100)</f>
        <v>6.5837548892928197</v>
      </c>
      <c r="I35" s="9"/>
      <c r="J35" s="29"/>
      <c r="K35" s="76"/>
      <c r="L35" s="76"/>
      <c r="M35" s="76"/>
    </row>
    <row r="36" spans="1:13" ht="13.5" customHeight="1">
      <c r="A36" s="39">
        <v>8040</v>
      </c>
      <c r="B36" s="39" t="s">
        <v>55</v>
      </c>
      <c r="C36" s="117">
        <f>IF(DRG_08!C36=0,"-",DRG_09!C36/DRG_08!C36*100-100)</f>
        <v>11.622204552881527</v>
      </c>
      <c r="D36" s="117">
        <f>IF(DRG_08!D36=0,"-",DRG_09!D36/DRG_08!D36*100-100)</f>
        <v>21.064066278658885</v>
      </c>
      <c r="E36" s="117">
        <f>IF(DRG_08!E36=0,"-",DRG_09!E36/DRG_08!E36*100-100)</f>
        <v>13.824541931992627</v>
      </c>
      <c r="F36" s="117">
        <f>IF(DRG_08!F36=0,"-",DRG_09!F36/DRG_08!F36*100-100)</f>
        <v>43.333333333333371</v>
      </c>
      <c r="G36" s="117">
        <f>IF(DRG_08!G36=0,"-",DRG_09!G36/DRG_08!G36*100-100)</f>
        <v>-31.643043212199473</v>
      </c>
      <c r="H36" s="37">
        <f>IF(DRG_08!H36=0,"-",DRG_09!I36/DRG_08!H36*100-100)</f>
        <v>13.516896493777779</v>
      </c>
      <c r="I36" s="9"/>
      <c r="J36" s="29"/>
      <c r="K36" s="76"/>
      <c r="L36" s="76"/>
      <c r="M36" s="76"/>
    </row>
    <row r="37" spans="1:13" ht="13.5" customHeight="1">
      <c r="A37" s="74"/>
      <c r="B37" s="41" t="s">
        <v>30</v>
      </c>
      <c r="C37" s="118">
        <f>IF(DRG_08!C37=0,"-",DRG_09!C37/DRG_08!C37*100-100)</f>
        <v>6.6153469617086955</v>
      </c>
      <c r="D37" s="118">
        <f>IF(DRG_08!D37=0,"-",DRG_09!D37/DRG_08!D37*100-100)</f>
        <v>15.604544465002874</v>
      </c>
      <c r="E37" s="118">
        <f>IF(DRG_08!E37=0,"-",DRG_09!E37/DRG_08!E37*100-100)</f>
        <v>10.097499991876575</v>
      </c>
      <c r="F37" s="118">
        <f>IF(DRG_08!F37=0,"-",DRG_09!F37/DRG_08!F37*100-100)</f>
        <v>22.061894662457533</v>
      </c>
      <c r="G37" s="118">
        <f>IF(DRG_08!G37=0,"-",DRG_09!G37/DRG_08!G37*100-100)</f>
        <v>159.06514417152715</v>
      </c>
      <c r="H37" s="113">
        <f>IF(DRG_08!H37=0,"-",DRG_09!I37/DRG_08!H37*100-100)</f>
        <v>9.3095216867375115</v>
      </c>
      <c r="I37" s="9"/>
      <c r="J37" s="9"/>
      <c r="K37" s="9"/>
    </row>
    <row r="38" spans="1:13" ht="13.5" customHeight="1">
      <c r="A38" s="43"/>
      <c r="B38" s="24"/>
      <c r="C38" s="44"/>
      <c r="D38" s="44"/>
      <c r="E38" s="44"/>
      <c r="F38" s="44"/>
      <c r="G38" s="44"/>
      <c r="H38" s="44"/>
      <c r="I38" s="9"/>
      <c r="J38" s="9"/>
      <c r="K38" s="9"/>
    </row>
    <row r="39" spans="1:13" ht="13.5" customHeight="1">
      <c r="A39" s="43"/>
      <c r="B39" s="45" t="s">
        <v>44</v>
      </c>
      <c r="C39" s="46">
        <f>IF(DRG_08!C39=0,"-",DRG_09!C39/DRG_08!C39*100-100)</f>
        <v>8.7782003513005691</v>
      </c>
      <c r="D39" s="46">
        <f>IF(DRG_08!D39=0,"-",DRG_09!D39/DRG_08!D39*100-100)</f>
        <v>17.128258558934448</v>
      </c>
      <c r="E39" s="46">
        <f>IF(DRG_08!E39=0,"-",DRG_09!E39/DRG_08!E39*100-100)</f>
        <v>11.893320029840865</v>
      </c>
      <c r="F39" s="46">
        <f>IF(DRG_08!F39=0,"-",DRG_09!F39/DRG_08!F39*100-100)</f>
        <v>27.066621739537908</v>
      </c>
      <c r="G39" s="46">
        <f>IF(DRG_08!G39=0,"-",DRG_09!G39/DRG_08!G39*100-100)</f>
        <v>-30.448951947163849</v>
      </c>
      <c r="H39" s="47">
        <f>IF(DRG_08!H39=0,"-",DRG_09!I39/DRG_08!H39*100-100)</f>
        <v>10.577315766414316</v>
      </c>
      <c r="I39" s="9"/>
      <c r="J39" s="70"/>
      <c r="K39" s="9"/>
    </row>
    <row r="40" spans="1:13" ht="13.5" customHeight="1">
      <c r="A40" s="43"/>
      <c r="B40" s="48" t="s">
        <v>45</v>
      </c>
      <c r="C40" s="49">
        <f>IF(DRG_08!C40=0,"-",DRG_09!C40/DRG_08!C40*100-100)</f>
        <v>5.9455581338117298</v>
      </c>
      <c r="D40" s="49">
        <f>IF(DRG_08!D40=0,"-",DRG_09!D40/DRG_08!D40*100-100)</f>
        <v>13.248340395895511</v>
      </c>
      <c r="E40" s="49">
        <f>IF(DRG_08!E40=0,"-",DRG_09!E40/DRG_08!E40*100-100)</f>
        <v>8.7414945412019733</v>
      </c>
      <c r="F40" s="49">
        <f>IF(DRG_08!F40=0,"-",DRG_09!F40/DRG_08!F40*100-100)</f>
        <v>20.29457820652398</v>
      </c>
      <c r="G40" s="49">
        <f>IF(DRG_08!G40=0,"-",DRG_09!G40/DRG_08!G40*100-100)</f>
        <v>-668.50815602905959</v>
      </c>
      <c r="H40" s="50">
        <f>IF(DRG_08!H40=0,"-",DRG_09!I40/DRG_08!H40*100-100)</f>
        <v>9.4000031222569476</v>
      </c>
      <c r="I40" s="9"/>
      <c r="J40" s="70"/>
      <c r="K40" s="9"/>
    </row>
    <row r="41" spans="1:13" ht="13.5" customHeight="1">
      <c r="A41" s="43"/>
      <c r="B41" s="48" t="s">
        <v>46</v>
      </c>
      <c r="C41" s="49">
        <f>IF(DRG_08!C41=0,"-",DRG_09!C41/DRG_08!C41*100-100)</f>
        <v>4.9462007070251843</v>
      </c>
      <c r="D41" s="49">
        <f>IF(DRG_08!D41=0,"-",DRG_09!D41/DRG_08!D41*100-100)</f>
        <v>16.094388027221157</v>
      </c>
      <c r="E41" s="49">
        <f>IF(DRG_08!E41=0,"-",DRG_09!E41/DRG_08!E41*100-100)</f>
        <v>9.6820898179085901</v>
      </c>
      <c r="F41" s="49">
        <f>IF(DRG_08!F41=0,"-",DRG_09!F41/DRG_08!F41*100-100)</f>
        <v>19.263552288675029</v>
      </c>
      <c r="G41" s="49">
        <f>IF(DRG_08!G41=0,"-",DRG_09!G41/DRG_08!G41*100-100)</f>
        <v>36.970456252249136</v>
      </c>
      <c r="H41" s="50">
        <f>IF(DRG_08!H41=0,"-",DRG_09!I41/DRG_08!H41*100-100)</f>
        <v>8.8194439632515156</v>
      </c>
      <c r="I41" s="9"/>
      <c r="J41" s="70"/>
      <c r="K41" s="9"/>
    </row>
    <row r="42" spans="1:13" ht="13.5" customHeight="1">
      <c r="A42" s="43"/>
      <c r="B42" s="48" t="s">
        <v>47</v>
      </c>
      <c r="C42" s="49">
        <f>IF(DRG_08!C42=0,"-",DRG_09!C42/DRG_08!C42*100-100)</f>
        <v>5.0466209387438141</v>
      </c>
      <c r="D42" s="49">
        <f>IF(DRG_08!D42=0,"-",DRG_09!D42/DRG_08!D42*100-100)</f>
        <v>13.965883433084684</v>
      </c>
      <c r="E42" s="49">
        <f>IF(DRG_08!E42=0,"-",DRG_09!E42/DRG_08!E42*100-100)</f>
        <v>8.4739298102959708</v>
      </c>
      <c r="F42" s="49">
        <f>IF(DRG_08!F42=0,"-",DRG_09!F42/DRG_08!F42*100-100)</f>
        <v>22.203255569356401</v>
      </c>
      <c r="G42" s="49">
        <f>IF(DRG_08!G42=0,"-",DRG_09!G42/DRG_08!G42*100-100)</f>
        <v>35.31305240029485</v>
      </c>
      <c r="H42" s="50">
        <f>IF(DRG_08!H42=0,"-",DRG_09!I42/DRG_08!H42*100-100)</f>
        <v>7.5607067483267798</v>
      </c>
      <c r="I42" s="9"/>
      <c r="J42" s="70"/>
      <c r="K42" s="9"/>
    </row>
    <row r="43" spans="1:13" ht="13.5" customHeight="1">
      <c r="A43" s="51"/>
      <c r="B43" s="52" t="s">
        <v>48</v>
      </c>
      <c r="C43" s="53">
        <f>IF(DRG_08!C43=0,"-",DRG_09!C43/DRG_08!C43*100-100)</f>
        <v>6.9450752499952841</v>
      </c>
      <c r="D43" s="53">
        <f>IF(DRG_08!D43=0,"-",DRG_09!D43/DRG_08!D43*100-100)</f>
        <v>15.957569295751611</v>
      </c>
      <c r="E43" s="53">
        <f>IF(DRG_08!E43=0,"-",DRG_09!E43/DRG_08!E43*100-100)</f>
        <v>10.226506270661531</v>
      </c>
      <c r="F43" s="53">
        <f>IF(DRG_08!F43=0,"-",DRG_09!F43/DRG_08!F43*100-100)</f>
        <v>12.007136833815196</v>
      </c>
      <c r="G43" s="53">
        <f>IF(DRG_08!G43=0,"-",DRG_09!G43/DRG_08!G43*100-100)</f>
        <v>-34.524753531633536</v>
      </c>
      <c r="H43" s="54">
        <f>IF(DRG_08!H43=0,"-",DRG_09!I43/DRG_08!H43*100-100)</f>
        <v>9.855997793960384</v>
      </c>
      <c r="I43" s="9"/>
      <c r="J43" s="70"/>
      <c r="K43" s="9"/>
    </row>
    <row r="44" spans="1:13" ht="13.5" customHeight="1">
      <c r="A44" s="51"/>
      <c r="B44" s="41" t="s">
        <v>30</v>
      </c>
      <c r="C44" s="56">
        <f>IF(DRG_08!C44=0,"-",DRG_09!C44/DRG_08!C44*100-100)</f>
        <v>6.6153469617086387</v>
      </c>
      <c r="D44" s="55">
        <f>IF(DRG_08!D44=0,"-",DRG_09!D44/DRG_08!D44*100-100)</f>
        <v>15.604544465002903</v>
      </c>
      <c r="E44" s="55">
        <f>IF(DRG_08!E44=0,"-",DRG_09!E44/DRG_08!E44*100-100)</f>
        <v>10.097499991876546</v>
      </c>
      <c r="F44" s="55">
        <f>IF(DRG_08!F44=0,"-",DRG_09!F44/DRG_08!F44*100-100)</f>
        <v>22.061894662457519</v>
      </c>
      <c r="G44" s="55">
        <f>IF(DRG_08!G44=0,"-",DRG_09!G44/DRG_08!G44*100-100)</f>
        <v>159.06514417152715</v>
      </c>
      <c r="H44" s="56">
        <f>IF(DRG_08!H44=0,"-",DRG_09!I44/DRG_08!H44*100-100)</f>
        <v>9.3095216867375115</v>
      </c>
      <c r="I44" s="9"/>
      <c r="J44" s="9"/>
      <c r="K44" s="9"/>
    </row>
    <row r="45" spans="1:13" ht="13.5" customHeight="1">
      <c r="I45" s="9"/>
      <c r="J45" s="9"/>
      <c r="K45" s="9"/>
    </row>
    <row r="46" spans="1:13" ht="13.5" customHeight="1">
      <c r="I46" s="9"/>
      <c r="J46" s="9"/>
      <c r="K46" s="9"/>
    </row>
    <row r="47" spans="1:13" ht="13.5" customHeight="1"/>
    <row r="48" spans="1:13" ht="13.5" customHeight="1"/>
    <row r="49" ht="13.5" customHeight="1"/>
    <row r="50" ht="13.5" customHeight="1"/>
    <row r="51" ht="13.5" customHeight="1"/>
    <row r="52" ht="13.5" customHeight="1"/>
  </sheetData>
  <phoneticPr fontId="12" type="noConversion"/>
  <pageMargins left="0.52" right="0.43" top="0.52" bottom="0.19" header="0.23" footer="0.25"/>
  <pageSetup paperSize="9" scale="86" orientation="landscape" r:id="rId1"/>
  <headerFooter alignWithMargins="0">
    <oddHeader>&amp;CSide 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11</vt:i4>
      </vt:variant>
    </vt:vector>
  </HeadingPairs>
  <TitlesOfParts>
    <vt:vector size="21" baseType="lpstr">
      <vt:lpstr>Skema1-7_2008</vt:lpstr>
      <vt:lpstr>Skema1-7_2009</vt:lpstr>
      <vt:lpstr>Skema1-7_forskel</vt:lpstr>
      <vt:lpstr>DTD_08</vt:lpstr>
      <vt:lpstr>DTD_09</vt:lpstr>
      <vt:lpstr>DTD_forskel</vt:lpstr>
      <vt:lpstr>DRG_08</vt:lpstr>
      <vt:lpstr>DRG_09</vt:lpstr>
      <vt:lpstr>DRG_forskel</vt:lpstr>
      <vt:lpstr>produktivitet</vt:lpstr>
      <vt:lpstr>DRG_08!Print_Area</vt:lpstr>
      <vt:lpstr>DRG_09!Print_Area</vt:lpstr>
      <vt:lpstr>DRG_forskel!Print_Area</vt:lpstr>
      <vt:lpstr>DTD_08!Print_Area</vt:lpstr>
      <vt:lpstr>DTD_09!Print_Area</vt:lpstr>
      <vt:lpstr>DTD_forskel!Print_Area</vt:lpstr>
      <vt:lpstr>produktivitet!Print_Area</vt:lpstr>
      <vt:lpstr>'Skema1-7_2008'!Print_Area</vt:lpstr>
      <vt:lpstr>'Skema1-7_2009'!Print_Area</vt:lpstr>
      <vt:lpstr>'Skema1-7_forskel'!Print_Area</vt:lpstr>
      <vt:lpstr>produktivitet!SAM_07</vt:lpstr>
    </vt:vector>
  </TitlesOfParts>
  <Company>Indenrigs- og Sundhedsministeriet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raaj</dc:creator>
  <cp:lastModifiedBy>Kathrine Marie Støvring Nielsen</cp:lastModifiedBy>
  <cp:lastPrinted>2010-11-18T13:12:35Z</cp:lastPrinted>
  <dcterms:created xsi:type="dcterms:W3CDTF">2008-06-30T12:44:49Z</dcterms:created>
  <dcterms:modified xsi:type="dcterms:W3CDTF">2010-12-20T10:06:54Z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th">
    <vt:lpwstr>C:\DOCUME~1\sumksn\LOKALE~1\Temp\SJ20101220100553816 (DOK394705).XLSX</vt:lpwstr>
  </property>
  <property fmtid="{D5CDD505-2E9C-101B-9397-08002B2CF9AE}" pid="3" name="title">
    <vt:lpwstr>Bilag E - (sjette delrapport)</vt:lpwstr>
  </property>
  <property fmtid="{D5CDD505-2E9C-101B-9397-08002B2CF9AE}" pid="4" name="command">
    <vt:lpwstr/>
  </property>
</Properties>
</file>