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65" windowHeight="8820" tabRatio="686"/>
  </bookViews>
  <sheets>
    <sheet name="(skema1-7_2013 - 13pl)" sheetId="32" r:id="rId1"/>
    <sheet name="Skema1-7_2013" sheetId="24" r:id="rId2"/>
    <sheet name="Skema1-7_2014" sheetId="23" r:id="rId3"/>
    <sheet name="Skema1-7_forskel" sheetId="29" r:id="rId4"/>
    <sheet name="DTD_13" sheetId="25" r:id="rId5"/>
    <sheet name="DTD_14" sheetId="5" r:id="rId6"/>
    <sheet name="DTD_forskel" sheetId="30" r:id="rId7"/>
    <sheet name="DRG_13" sheetId="27" r:id="rId8"/>
    <sheet name="DRG_14" sheetId="26" r:id="rId9"/>
    <sheet name="DRG_forskel" sheetId="31" r:id="rId10"/>
    <sheet name="produktivitet" sheetId="7" r:id="rId11"/>
    <sheet name="Dokumentation" sheetId="33" r:id="rId12"/>
    <sheet name="Medicin produktionssiden 2013" sheetId="48" r:id="rId13"/>
    <sheet name="Medicin produktionssiden 2014" sheetId="49" r:id="rId14"/>
    <sheet name="Regionsspecifikke korrektioner" sheetId="46" r:id="rId15"/>
    <sheet name="Ikke niveau-justeret DRG" sheetId="47" r:id="rId16"/>
    <sheet name="Ark1" sheetId="50" r:id="rId17"/>
  </sheets>
  <definedNames>
    <definedName name="_xlnm._FilterDatabase" localSheetId="12" hidden="1">'Medicin produktionssiden 2013'!$B$1:$B$846</definedName>
    <definedName name="_xlnm._FilterDatabase" localSheetId="13" hidden="1">'Medicin produktionssiden 2014'!$B$1:$B$894</definedName>
    <definedName name="Print_Area" localSheetId="7">DRG_13!$A$1:$I$31</definedName>
    <definedName name="Print_Area" localSheetId="8">DRG_14!$A$1:$I$31</definedName>
    <definedName name="Print_Area" localSheetId="9">DRG_forskel!$A$1:$H$31</definedName>
    <definedName name="Print_Area" localSheetId="4">DTD_13!$A$1:$G$31</definedName>
    <definedName name="Print_Area" localSheetId="5">DTD_14!$A$1:$G$31</definedName>
    <definedName name="Print_Area" localSheetId="6">DTD_forskel!$A$1:$G$31</definedName>
    <definedName name="Print_Area" localSheetId="10">produktivitet!$A$1:$J$32</definedName>
    <definedName name="Print_Area" localSheetId="1">'Skema1-7_2013'!$A$1:$J$30</definedName>
    <definedName name="Print_Area" localSheetId="2">'Skema1-7_2014'!$A$1:$J$31</definedName>
    <definedName name="Print_Area" localSheetId="3">'Skema1-7_forskel'!$A$1:$J$31</definedName>
    <definedName name="SAM_06" localSheetId="7">DRG_13!#REF!</definedName>
    <definedName name="SAM_06" localSheetId="8">DRG_14!#REF!</definedName>
    <definedName name="SAM_06" localSheetId="9">DRG_forskel!#REF!</definedName>
    <definedName name="SAM_07" localSheetId="10">produktivitet!$A$5:$B$32</definedName>
  </definedNames>
  <calcPr calcId="145621"/>
</workbook>
</file>

<file path=xl/calcChain.xml><?xml version="1.0" encoding="utf-8"?>
<calcChain xmlns="http://schemas.openxmlformats.org/spreadsheetml/2006/main">
  <c r="I12" i="26" l="1"/>
  <c r="I11" i="26"/>
  <c r="I10" i="26"/>
  <c r="I9" i="26"/>
  <c r="I8" i="26"/>
  <c r="I7" i="26"/>
  <c r="I6" i="26"/>
  <c r="I5" i="26"/>
  <c r="J12" i="23"/>
  <c r="J11" i="23"/>
  <c r="J10" i="23"/>
  <c r="J9" i="23"/>
  <c r="J8" i="23"/>
  <c r="J7" i="23"/>
  <c r="J6" i="23"/>
  <c r="J5" i="23"/>
  <c r="H28" i="27" l="1"/>
  <c r="F38" i="47" l="1"/>
  <c r="E38" i="47"/>
  <c r="D38" i="47"/>
  <c r="C38" i="47"/>
  <c r="F37" i="47"/>
  <c r="E37" i="47"/>
  <c r="D37" i="47"/>
  <c r="C37" i="47"/>
  <c r="F36" i="47"/>
  <c r="E36" i="47"/>
  <c r="D36" i="47"/>
  <c r="C36" i="47"/>
  <c r="F35" i="47"/>
  <c r="E35" i="47"/>
  <c r="D35" i="47"/>
  <c r="C35" i="47"/>
  <c r="F34" i="47"/>
  <c r="F39" i="47" s="1"/>
  <c r="E34" i="47"/>
  <c r="E39" i="47" s="1"/>
  <c r="D34" i="47"/>
  <c r="D39" i="47" s="1"/>
  <c r="C34" i="47"/>
  <c r="C39" i="47" s="1"/>
  <c r="F32" i="47"/>
  <c r="E32" i="47"/>
  <c r="D32" i="47"/>
  <c r="C32" i="47"/>
  <c r="H24" i="32" l="1"/>
  <c r="H21" i="23" l="1"/>
  <c r="H20" i="23"/>
  <c r="H21" i="32"/>
  <c r="H20" i="32"/>
  <c r="H29" i="27" l="1"/>
  <c r="P31" i="46" l="1"/>
  <c r="K31" i="46"/>
  <c r="P30" i="46"/>
  <c r="K30" i="46"/>
  <c r="P28" i="46"/>
  <c r="K28" i="46"/>
  <c r="P27" i="46"/>
  <c r="K27" i="46"/>
  <c r="P26" i="46"/>
  <c r="K26" i="46"/>
  <c r="P25" i="46"/>
  <c r="K25" i="46"/>
  <c r="P24" i="46"/>
  <c r="K24" i="46"/>
  <c r="P19" i="46"/>
  <c r="K19" i="46"/>
  <c r="P18" i="46"/>
  <c r="K18" i="46"/>
  <c r="P17" i="46"/>
  <c r="K17" i="46"/>
  <c r="P12" i="46"/>
  <c r="K12" i="46"/>
  <c r="P10" i="46"/>
  <c r="K10" i="46"/>
  <c r="P9" i="46"/>
  <c r="K9" i="46"/>
  <c r="P7" i="46"/>
  <c r="K7" i="46"/>
  <c r="C5" i="24" l="1"/>
  <c r="D5" i="24"/>
  <c r="E5" i="24"/>
  <c r="F5" i="24"/>
  <c r="G5" i="24"/>
  <c r="H5" i="24"/>
  <c r="I5" i="24"/>
  <c r="C6" i="24"/>
  <c r="D6" i="24"/>
  <c r="E6" i="24"/>
  <c r="F6" i="24"/>
  <c r="G6" i="24"/>
  <c r="H6" i="24"/>
  <c r="I6" i="24"/>
  <c r="C7" i="24"/>
  <c r="D7" i="24"/>
  <c r="E7" i="24"/>
  <c r="F7" i="24"/>
  <c r="G7" i="24"/>
  <c r="H7" i="24"/>
  <c r="I7" i="24"/>
  <c r="C8" i="24"/>
  <c r="D8" i="24"/>
  <c r="E8" i="24"/>
  <c r="F8" i="24"/>
  <c r="G8" i="24"/>
  <c r="H8" i="24"/>
  <c r="I8" i="24"/>
  <c r="C9" i="24"/>
  <c r="D9" i="24"/>
  <c r="E9" i="24"/>
  <c r="F9" i="24"/>
  <c r="G9" i="24"/>
  <c r="H9" i="24"/>
  <c r="I9" i="24"/>
  <c r="C10" i="24"/>
  <c r="D10" i="24"/>
  <c r="E10" i="24"/>
  <c r="F10" i="24"/>
  <c r="G10" i="24"/>
  <c r="H10" i="24"/>
  <c r="I10" i="24"/>
  <c r="C11" i="24"/>
  <c r="D11" i="24"/>
  <c r="E11" i="24"/>
  <c r="F11" i="24"/>
  <c r="G11" i="24"/>
  <c r="H11" i="24"/>
  <c r="I11" i="24"/>
  <c r="C12" i="24"/>
  <c r="D12" i="24"/>
  <c r="E12" i="24"/>
  <c r="F12" i="24"/>
  <c r="G12" i="24"/>
  <c r="H12" i="24"/>
  <c r="I12" i="24"/>
  <c r="C13" i="24"/>
  <c r="D13" i="24"/>
  <c r="E13" i="24"/>
  <c r="F13" i="24"/>
  <c r="G13" i="24"/>
  <c r="H13" i="24"/>
  <c r="I13" i="24"/>
  <c r="C14" i="24"/>
  <c r="C14" i="29" s="1"/>
  <c r="D14" i="24"/>
  <c r="D14" i="29" s="1"/>
  <c r="E14" i="24"/>
  <c r="E14" i="29" s="1"/>
  <c r="F14" i="24"/>
  <c r="F14" i="29" s="1"/>
  <c r="G14" i="24"/>
  <c r="G14" i="29" s="1"/>
  <c r="H14" i="24"/>
  <c r="H14" i="29" s="1"/>
  <c r="I14" i="24"/>
  <c r="I14" i="29" s="1"/>
  <c r="C15" i="24"/>
  <c r="C15" i="29" s="1"/>
  <c r="D15" i="24"/>
  <c r="D15" i="29" s="1"/>
  <c r="E15" i="24"/>
  <c r="E15" i="29" s="1"/>
  <c r="F15" i="24"/>
  <c r="F15" i="29" s="1"/>
  <c r="G15" i="24"/>
  <c r="G15" i="29" s="1"/>
  <c r="H15" i="24"/>
  <c r="H15" i="29" s="1"/>
  <c r="I15" i="24"/>
  <c r="I15" i="29" s="1"/>
  <c r="C16" i="24"/>
  <c r="C16" i="29" s="1"/>
  <c r="D16" i="24"/>
  <c r="D16" i="29" s="1"/>
  <c r="E16" i="24"/>
  <c r="E16" i="29" s="1"/>
  <c r="F16" i="24"/>
  <c r="F16" i="29" s="1"/>
  <c r="G16" i="24"/>
  <c r="G16" i="29" s="1"/>
  <c r="H16" i="24"/>
  <c r="H16" i="29" s="1"/>
  <c r="I16" i="24"/>
  <c r="I16" i="29" s="1"/>
  <c r="C17" i="24"/>
  <c r="C17" i="29" s="1"/>
  <c r="D17" i="24"/>
  <c r="D17" i="29" s="1"/>
  <c r="E17" i="24"/>
  <c r="E17" i="29" s="1"/>
  <c r="F17" i="24"/>
  <c r="F17" i="29" s="1"/>
  <c r="G17" i="24"/>
  <c r="G17" i="29" s="1"/>
  <c r="H17" i="24"/>
  <c r="H17" i="29" s="1"/>
  <c r="I17" i="24"/>
  <c r="I17" i="29" s="1"/>
  <c r="C18" i="24"/>
  <c r="D18" i="24"/>
  <c r="E18" i="24"/>
  <c r="F18" i="24"/>
  <c r="G18" i="24"/>
  <c r="H18" i="24"/>
  <c r="I18" i="24"/>
  <c r="C19" i="24"/>
  <c r="D19" i="24"/>
  <c r="E19" i="24"/>
  <c r="F19" i="24"/>
  <c r="G19" i="24"/>
  <c r="H19" i="24"/>
  <c r="I19" i="24"/>
  <c r="C20" i="24"/>
  <c r="D20" i="24"/>
  <c r="E20" i="24"/>
  <c r="F20" i="24"/>
  <c r="G20" i="24"/>
  <c r="H20" i="24"/>
  <c r="I20" i="24"/>
  <c r="C21" i="24"/>
  <c r="D21" i="24"/>
  <c r="E21" i="24"/>
  <c r="F21" i="24"/>
  <c r="G21" i="24"/>
  <c r="H21" i="24"/>
  <c r="I21" i="24"/>
  <c r="C22" i="24"/>
  <c r="D22" i="24"/>
  <c r="E22" i="24"/>
  <c r="F22" i="24"/>
  <c r="G22" i="24"/>
  <c r="H22" i="24"/>
  <c r="I22" i="24"/>
  <c r="C23" i="24"/>
  <c r="D23" i="24"/>
  <c r="E23" i="24"/>
  <c r="F23" i="24"/>
  <c r="G23" i="24"/>
  <c r="H23" i="24"/>
  <c r="I23" i="24"/>
  <c r="C24" i="24"/>
  <c r="D24" i="24"/>
  <c r="E24" i="24"/>
  <c r="F24" i="24"/>
  <c r="G24" i="24"/>
  <c r="H24" i="24"/>
  <c r="I24" i="24"/>
  <c r="C25" i="24"/>
  <c r="D25" i="24"/>
  <c r="E25" i="24"/>
  <c r="F25" i="24"/>
  <c r="G25" i="24"/>
  <c r="H25" i="24"/>
  <c r="I25" i="24"/>
  <c r="C26" i="24"/>
  <c r="D26" i="24"/>
  <c r="E26" i="24"/>
  <c r="F26" i="24"/>
  <c r="G26" i="24"/>
  <c r="H26" i="24"/>
  <c r="I26" i="24"/>
  <c r="C27" i="24"/>
  <c r="D27" i="24"/>
  <c r="E27" i="24"/>
  <c r="F27" i="24"/>
  <c r="G27" i="24"/>
  <c r="H27" i="24"/>
  <c r="I27" i="24"/>
  <c r="C28" i="24"/>
  <c r="D28" i="24"/>
  <c r="E28" i="24"/>
  <c r="F28" i="24"/>
  <c r="G28" i="24"/>
  <c r="H28" i="24"/>
  <c r="I28" i="24"/>
  <c r="C29" i="24"/>
  <c r="D29" i="24"/>
  <c r="E29" i="24"/>
  <c r="F29" i="24"/>
  <c r="G29" i="24"/>
  <c r="H29" i="24"/>
  <c r="I29" i="24"/>
  <c r="C30" i="24"/>
  <c r="D30" i="24"/>
  <c r="E30" i="24"/>
  <c r="F30" i="24"/>
  <c r="G30" i="24"/>
  <c r="H30" i="24"/>
  <c r="I30" i="24"/>
  <c r="J17" i="32" l="1"/>
  <c r="J16" i="32"/>
  <c r="J15" i="32"/>
  <c r="J14" i="32"/>
  <c r="D33" i="5"/>
  <c r="F33" i="5"/>
  <c r="D34" i="5"/>
  <c r="F34" i="5"/>
  <c r="D35" i="5"/>
  <c r="F35" i="5"/>
  <c r="D36" i="5"/>
  <c r="F36" i="5"/>
  <c r="D37" i="5"/>
  <c r="F37" i="5"/>
  <c r="H37" i="26"/>
  <c r="H36" i="26"/>
  <c r="H35" i="26"/>
  <c r="H34" i="26"/>
  <c r="H33" i="26"/>
  <c r="G37" i="26"/>
  <c r="G36" i="26"/>
  <c r="G35" i="26"/>
  <c r="G34" i="26"/>
  <c r="G33" i="26"/>
  <c r="F37" i="26"/>
  <c r="F36" i="26"/>
  <c r="F35" i="26"/>
  <c r="F34" i="26"/>
  <c r="F33" i="26"/>
  <c r="D37" i="26"/>
  <c r="D36" i="26"/>
  <c r="D35" i="26"/>
  <c r="D34" i="26"/>
  <c r="D33" i="26"/>
  <c r="C37" i="26"/>
  <c r="C36" i="26"/>
  <c r="C35" i="26"/>
  <c r="C34" i="26"/>
  <c r="C33" i="26"/>
  <c r="H37" i="27"/>
  <c r="H36" i="27"/>
  <c r="H35" i="27"/>
  <c r="H34" i="27"/>
  <c r="H33" i="27"/>
  <c r="G37" i="27"/>
  <c r="G36" i="27"/>
  <c r="G35" i="27"/>
  <c r="G34" i="27"/>
  <c r="G33" i="27"/>
  <c r="F37" i="27"/>
  <c r="F36" i="27"/>
  <c r="F35" i="27"/>
  <c r="F34" i="27"/>
  <c r="F33" i="27"/>
  <c r="D37" i="27"/>
  <c r="D36" i="27"/>
  <c r="D35" i="27"/>
  <c r="D34" i="27"/>
  <c r="D33" i="27"/>
  <c r="C37" i="27"/>
  <c r="C36" i="27"/>
  <c r="C35" i="27"/>
  <c r="C34" i="27"/>
  <c r="C33" i="27"/>
  <c r="F37" i="25"/>
  <c r="F36" i="25"/>
  <c r="F35" i="25"/>
  <c r="F34" i="25"/>
  <c r="F33" i="25"/>
  <c r="D37" i="25"/>
  <c r="D36" i="25"/>
  <c r="D35" i="25"/>
  <c r="D34" i="25"/>
  <c r="D33" i="25"/>
  <c r="I37" i="23"/>
  <c r="H37" i="23"/>
  <c r="G37" i="23"/>
  <c r="F37" i="23"/>
  <c r="E37" i="23"/>
  <c r="D37" i="23"/>
  <c r="C37" i="23"/>
  <c r="I36" i="23"/>
  <c r="H36" i="23"/>
  <c r="G36" i="23"/>
  <c r="F36" i="23"/>
  <c r="E36" i="23"/>
  <c r="D36" i="23"/>
  <c r="C36" i="23"/>
  <c r="I35" i="23"/>
  <c r="H35" i="23"/>
  <c r="G35" i="23"/>
  <c r="F35" i="23"/>
  <c r="E35" i="23"/>
  <c r="D35" i="23"/>
  <c r="C35" i="23"/>
  <c r="I34" i="23"/>
  <c r="H34" i="23"/>
  <c r="G34" i="23"/>
  <c r="F34" i="23"/>
  <c r="E34" i="23"/>
  <c r="D34" i="23"/>
  <c r="C34" i="23"/>
  <c r="I33" i="23"/>
  <c r="H33" i="23"/>
  <c r="G33" i="23"/>
  <c r="F33" i="23"/>
  <c r="E33" i="23"/>
  <c r="D33" i="23"/>
  <c r="C33" i="23"/>
  <c r="I37" i="24"/>
  <c r="H37" i="24"/>
  <c r="G37" i="24"/>
  <c r="F37" i="24"/>
  <c r="E37" i="24"/>
  <c r="D37" i="24"/>
  <c r="C37" i="24"/>
  <c r="I36" i="24"/>
  <c r="H36" i="24"/>
  <c r="G36" i="24"/>
  <c r="F36" i="24"/>
  <c r="E36" i="24"/>
  <c r="D36" i="24"/>
  <c r="I35" i="24"/>
  <c r="H35" i="24"/>
  <c r="G35" i="24"/>
  <c r="F35" i="24"/>
  <c r="E35" i="24"/>
  <c r="D35" i="24"/>
  <c r="C35" i="24"/>
  <c r="I34" i="24"/>
  <c r="H34" i="24"/>
  <c r="G34" i="24"/>
  <c r="F34" i="24"/>
  <c r="E34" i="24"/>
  <c r="D34" i="24"/>
  <c r="C34" i="24"/>
  <c r="I33" i="24"/>
  <c r="H33" i="24"/>
  <c r="G33" i="24"/>
  <c r="F33" i="24"/>
  <c r="E33" i="24"/>
  <c r="D33" i="24"/>
  <c r="C33" i="24"/>
  <c r="I37" i="32"/>
  <c r="H37" i="32"/>
  <c r="G37" i="32"/>
  <c r="F37" i="32"/>
  <c r="E37" i="32"/>
  <c r="D37" i="32"/>
  <c r="I36" i="32"/>
  <c r="H36" i="32"/>
  <c r="G36" i="32"/>
  <c r="F36" i="32"/>
  <c r="E36" i="32"/>
  <c r="D36" i="32"/>
  <c r="I35" i="32"/>
  <c r="H35" i="32"/>
  <c r="G35" i="32"/>
  <c r="F35" i="32"/>
  <c r="E35" i="32"/>
  <c r="D35" i="32"/>
  <c r="I34" i="32"/>
  <c r="H34" i="32"/>
  <c r="G34" i="32"/>
  <c r="F34" i="32"/>
  <c r="E34" i="32"/>
  <c r="D34" i="32"/>
  <c r="I33" i="32"/>
  <c r="H33" i="32"/>
  <c r="G33" i="32"/>
  <c r="F33" i="32"/>
  <c r="E33" i="32"/>
  <c r="D33" i="32"/>
  <c r="C36" i="32"/>
  <c r="C37" i="32"/>
  <c r="C33" i="32"/>
  <c r="C35" i="32"/>
  <c r="C34" i="32"/>
  <c r="J14" i="24" l="1"/>
  <c r="J17" i="24"/>
  <c r="J16" i="24"/>
  <c r="J15" i="24"/>
  <c r="C14" i="25" l="1"/>
  <c r="E5" i="26" l="1"/>
  <c r="D31" i="27"/>
  <c r="B7" i="7" l="1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6" i="7"/>
  <c r="C33" i="31"/>
  <c r="D31" i="32"/>
  <c r="E31" i="32"/>
  <c r="F31" i="32"/>
  <c r="G31" i="32"/>
  <c r="H31" i="32"/>
  <c r="I31" i="32"/>
  <c r="C31" i="32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D31" i="5"/>
  <c r="F31" i="5"/>
  <c r="D34" i="29"/>
  <c r="E34" i="29"/>
  <c r="F34" i="29"/>
  <c r="G34" i="29"/>
  <c r="H34" i="29"/>
  <c r="I34" i="29"/>
  <c r="H38" i="27" l="1"/>
  <c r="C34" i="29"/>
  <c r="G38" i="27"/>
  <c r="D38" i="5"/>
  <c r="F38" i="5"/>
  <c r="I30" i="29"/>
  <c r="H30" i="29"/>
  <c r="G30" i="29"/>
  <c r="F30" i="29"/>
  <c r="E30" i="29"/>
  <c r="D30" i="29"/>
  <c r="C30" i="29"/>
  <c r="I29" i="29"/>
  <c r="H29" i="29"/>
  <c r="G29" i="29"/>
  <c r="F29" i="29"/>
  <c r="E29" i="29"/>
  <c r="D29" i="29"/>
  <c r="I28" i="29"/>
  <c r="H28" i="29"/>
  <c r="G28" i="29"/>
  <c r="F28" i="29"/>
  <c r="E28" i="29"/>
  <c r="D28" i="29"/>
  <c r="C28" i="29"/>
  <c r="I27" i="29"/>
  <c r="H27" i="29"/>
  <c r="G27" i="29"/>
  <c r="F27" i="29"/>
  <c r="E27" i="29"/>
  <c r="D27" i="29"/>
  <c r="C27" i="29"/>
  <c r="I26" i="29"/>
  <c r="H26" i="29"/>
  <c r="G26" i="29"/>
  <c r="F26" i="29"/>
  <c r="E26" i="29"/>
  <c r="D26" i="29"/>
  <c r="C26" i="29"/>
  <c r="I25" i="29"/>
  <c r="H25" i="29"/>
  <c r="G25" i="29"/>
  <c r="F25" i="29"/>
  <c r="E25" i="29"/>
  <c r="D25" i="29"/>
  <c r="C25" i="29"/>
  <c r="I24" i="29"/>
  <c r="H24" i="29"/>
  <c r="G24" i="29"/>
  <c r="F24" i="29"/>
  <c r="E24" i="29"/>
  <c r="D24" i="29"/>
  <c r="I23" i="29"/>
  <c r="H23" i="29"/>
  <c r="G23" i="29"/>
  <c r="F23" i="29"/>
  <c r="E23" i="29"/>
  <c r="D23" i="29"/>
  <c r="I22" i="29"/>
  <c r="H22" i="29"/>
  <c r="G22" i="29"/>
  <c r="F22" i="29"/>
  <c r="E22" i="29"/>
  <c r="D22" i="29"/>
  <c r="C22" i="29"/>
  <c r="I21" i="29"/>
  <c r="H21" i="29"/>
  <c r="G21" i="29"/>
  <c r="F21" i="29"/>
  <c r="E21" i="29"/>
  <c r="D21" i="29"/>
  <c r="C21" i="29"/>
  <c r="I20" i="29"/>
  <c r="H20" i="29"/>
  <c r="G20" i="29"/>
  <c r="F20" i="29"/>
  <c r="E20" i="29"/>
  <c r="D20" i="29"/>
  <c r="C20" i="29"/>
  <c r="I19" i="29"/>
  <c r="H19" i="29"/>
  <c r="G19" i="29"/>
  <c r="F19" i="29"/>
  <c r="E19" i="29"/>
  <c r="D19" i="29"/>
  <c r="C19" i="29"/>
  <c r="I18" i="29"/>
  <c r="H18" i="29"/>
  <c r="G18" i="29"/>
  <c r="F18" i="29"/>
  <c r="E18" i="29"/>
  <c r="D18" i="29"/>
  <c r="I13" i="29"/>
  <c r="H13" i="29"/>
  <c r="G13" i="29"/>
  <c r="F13" i="29"/>
  <c r="E13" i="29"/>
  <c r="D13" i="29"/>
  <c r="C13" i="29"/>
  <c r="I12" i="29"/>
  <c r="H12" i="29"/>
  <c r="G12" i="29"/>
  <c r="F12" i="29"/>
  <c r="E12" i="29"/>
  <c r="D12" i="29"/>
  <c r="C12" i="29"/>
  <c r="I11" i="29"/>
  <c r="H11" i="29"/>
  <c r="G11" i="29"/>
  <c r="F11" i="29"/>
  <c r="E11" i="29"/>
  <c r="D11" i="29"/>
  <c r="C11" i="29"/>
  <c r="I10" i="29"/>
  <c r="H10" i="29"/>
  <c r="G10" i="29"/>
  <c r="F10" i="29"/>
  <c r="E10" i="29"/>
  <c r="D10" i="29"/>
  <c r="C10" i="29"/>
  <c r="I9" i="29"/>
  <c r="H9" i="29"/>
  <c r="G9" i="29"/>
  <c r="F9" i="29"/>
  <c r="E9" i="29"/>
  <c r="D9" i="29"/>
  <c r="C9" i="29"/>
  <c r="I8" i="29"/>
  <c r="H8" i="29"/>
  <c r="G8" i="29"/>
  <c r="F8" i="29"/>
  <c r="E8" i="29"/>
  <c r="D8" i="29"/>
  <c r="C8" i="29"/>
  <c r="I7" i="29"/>
  <c r="H7" i="29"/>
  <c r="G7" i="29"/>
  <c r="F7" i="29"/>
  <c r="E7" i="29"/>
  <c r="D7" i="29"/>
  <c r="C7" i="29"/>
  <c r="I6" i="29"/>
  <c r="H6" i="29"/>
  <c r="G6" i="29"/>
  <c r="F6" i="29"/>
  <c r="E6" i="29"/>
  <c r="D6" i="29"/>
  <c r="C6" i="29"/>
  <c r="I5" i="29"/>
  <c r="H5" i="29"/>
  <c r="G5" i="29"/>
  <c r="F5" i="29"/>
  <c r="E5" i="29"/>
  <c r="D5" i="29"/>
  <c r="C23" i="29" l="1"/>
  <c r="C36" i="24"/>
  <c r="C5" i="29"/>
  <c r="C33" i="29"/>
  <c r="C29" i="29"/>
  <c r="C37" i="29"/>
  <c r="C18" i="29"/>
  <c r="C35" i="29"/>
  <c r="C36" i="29"/>
  <c r="C24" i="29"/>
  <c r="C31" i="24"/>
  <c r="G31" i="26"/>
  <c r="D31" i="26"/>
  <c r="G31" i="27"/>
  <c r="F31" i="27"/>
  <c r="G30" i="31" l="1"/>
  <c r="F30" i="31"/>
  <c r="D30" i="31"/>
  <c r="C30" i="31"/>
  <c r="B30" i="31"/>
  <c r="A30" i="31"/>
  <c r="G29" i="31"/>
  <c r="F29" i="31"/>
  <c r="D29" i="31"/>
  <c r="C29" i="31"/>
  <c r="B29" i="31"/>
  <c r="A29" i="31"/>
  <c r="G28" i="31"/>
  <c r="F28" i="31"/>
  <c r="D28" i="31"/>
  <c r="C28" i="31"/>
  <c r="B28" i="31"/>
  <c r="A28" i="31"/>
  <c r="G27" i="31"/>
  <c r="F27" i="31"/>
  <c r="D27" i="31"/>
  <c r="C27" i="31"/>
  <c r="B27" i="31"/>
  <c r="A27" i="31"/>
  <c r="G26" i="31"/>
  <c r="F26" i="31"/>
  <c r="D26" i="31"/>
  <c r="C26" i="31"/>
  <c r="B26" i="31"/>
  <c r="A26" i="31"/>
  <c r="G25" i="31"/>
  <c r="F25" i="31"/>
  <c r="D25" i="31"/>
  <c r="C25" i="31"/>
  <c r="B25" i="31"/>
  <c r="A25" i="31"/>
  <c r="G24" i="31"/>
  <c r="F24" i="31"/>
  <c r="D24" i="31"/>
  <c r="C24" i="31"/>
  <c r="B24" i="31"/>
  <c r="A24" i="31"/>
  <c r="G23" i="31"/>
  <c r="F23" i="31"/>
  <c r="D23" i="31"/>
  <c r="C23" i="31"/>
  <c r="B23" i="31"/>
  <c r="A23" i="31"/>
  <c r="G22" i="31"/>
  <c r="F22" i="31"/>
  <c r="D22" i="31"/>
  <c r="C22" i="31"/>
  <c r="B22" i="31"/>
  <c r="A22" i="31"/>
  <c r="G21" i="31"/>
  <c r="F21" i="31"/>
  <c r="D21" i="31"/>
  <c r="C21" i="31"/>
  <c r="B21" i="31"/>
  <c r="A21" i="31"/>
  <c r="G20" i="31"/>
  <c r="F20" i="31"/>
  <c r="D20" i="31"/>
  <c r="C20" i="31"/>
  <c r="B20" i="31"/>
  <c r="A20" i="31"/>
  <c r="G19" i="31"/>
  <c r="F19" i="31"/>
  <c r="D19" i="31"/>
  <c r="C19" i="31"/>
  <c r="B19" i="31"/>
  <c r="A19" i="31"/>
  <c r="G18" i="31"/>
  <c r="F18" i="31"/>
  <c r="D18" i="31"/>
  <c r="C18" i="31"/>
  <c r="B18" i="31"/>
  <c r="A18" i="31"/>
  <c r="G17" i="31"/>
  <c r="F17" i="31"/>
  <c r="D17" i="31"/>
  <c r="C17" i="31"/>
  <c r="B17" i="31"/>
  <c r="A17" i="31"/>
  <c r="G16" i="31"/>
  <c r="F16" i="31"/>
  <c r="D16" i="31"/>
  <c r="C16" i="31"/>
  <c r="B16" i="31"/>
  <c r="A16" i="31"/>
  <c r="G15" i="31"/>
  <c r="F15" i="31"/>
  <c r="D15" i="31"/>
  <c r="C15" i="31"/>
  <c r="B15" i="31"/>
  <c r="A15" i="31"/>
  <c r="G14" i="31"/>
  <c r="F14" i="31"/>
  <c r="D14" i="31"/>
  <c r="C14" i="31"/>
  <c r="B14" i="31"/>
  <c r="A14" i="31"/>
  <c r="G13" i="31"/>
  <c r="F13" i="31"/>
  <c r="D13" i="31"/>
  <c r="C13" i="31"/>
  <c r="B13" i="31"/>
  <c r="A13" i="31"/>
  <c r="G12" i="31"/>
  <c r="F12" i="31"/>
  <c r="D12" i="31"/>
  <c r="C12" i="31"/>
  <c r="B12" i="31"/>
  <c r="A12" i="31"/>
  <c r="G11" i="31"/>
  <c r="F11" i="31"/>
  <c r="D11" i="31"/>
  <c r="C11" i="31"/>
  <c r="B11" i="31"/>
  <c r="A11" i="31"/>
  <c r="G10" i="31"/>
  <c r="F10" i="31"/>
  <c r="D10" i="31"/>
  <c r="C10" i="31"/>
  <c r="B10" i="31"/>
  <c r="A10" i="31"/>
  <c r="G9" i="31"/>
  <c r="F9" i="31"/>
  <c r="D9" i="31"/>
  <c r="C9" i="31"/>
  <c r="B9" i="31"/>
  <c r="A9" i="31"/>
  <c r="G8" i="31"/>
  <c r="F8" i="31"/>
  <c r="D8" i="31"/>
  <c r="C8" i="31"/>
  <c r="B8" i="31"/>
  <c r="A8" i="31"/>
  <c r="G7" i="31"/>
  <c r="F7" i="31"/>
  <c r="D7" i="31"/>
  <c r="C7" i="31"/>
  <c r="B7" i="31"/>
  <c r="A7" i="31"/>
  <c r="G6" i="31"/>
  <c r="F6" i="31"/>
  <c r="D6" i="31"/>
  <c r="C6" i="31"/>
  <c r="B6" i="31"/>
  <c r="A6" i="31"/>
  <c r="E30" i="26"/>
  <c r="I30" i="26" s="1"/>
  <c r="D31" i="7" s="1"/>
  <c r="B30" i="26"/>
  <c r="A30" i="26"/>
  <c r="E29" i="26"/>
  <c r="B29" i="26"/>
  <c r="A29" i="26"/>
  <c r="E28" i="26"/>
  <c r="B28" i="26"/>
  <c r="A28" i="26"/>
  <c r="E27" i="26"/>
  <c r="I27" i="26" s="1"/>
  <c r="D28" i="7" s="1"/>
  <c r="B27" i="26"/>
  <c r="A27" i="26"/>
  <c r="E26" i="26"/>
  <c r="I26" i="26" s="1"/>
  <c r="D27" i="7" s="1"/>
  <c r="B26" i="26"/>
  <c r="A26" i="26"/>
  <c r="E25" i="26"/>
  <c r="I25" i="26" s="1"/>
  <c r="D26" i="7" s="1"/>
  <c r="B25" i="26"/>
  <c r="A25" i="26"/>
  <c r="E24" i="26"/>
  <c r="B24" i="26"/>
  <c r="A24" i="26"/>
  <c r="E23" i="26"/>
  <c r="B23" i="26"/>
  <c r="A23" i="26"/>
  <c r="E22" i="26"/>
  <c r="I22" i="26" s="1"/>
  <c r="D23" i="7" s="1"/>
  <c r="B22" i="26"/>
  <c r="A22" i="26"/>
  <c r="E21" i="26"/>
  <c r="I21" i="26" s="1"/>
  <c r="D22" i="7" s="1"/>
  <c r="B21" i="26"/>
  <c r="A21" i="26"/>
  <c r="E20" i="26"/>
  <c r="I20" i="26" s="1"/>
  <c r="D21" i="7" s="1"/>
  <c r="B20" i="26"/>
  <c r="A20" i="26"/>
  <c r="E19" i="26"/>
  <c r="I19" i="26" s="1"/>
  <c r="D20" i="7" s="1"/>
  <c r="B19" i="26"/>
  <c r="A19" i="26"/>
  <c r="E18" i="26"/>
  <c r="B18" i="26"/>
  <c r="A18" i="26"/>
  <c r="E17" i="26"/>
  <c r="B17" i="26"/>
  <c r="A17" i="26"/>
  <c r="E16" i="26"/>
  <c r="I16" i="26" s="1"/>
  <c r="D17" i="7" s="1"/>
  <c r="B16" i="26"/>
  <c r="A16" i="26"/>
  <c r="E15" i="26"/>
  <c r="I15" i="26" s="1"/>
  <c r="D16" i="7" s="1"/>
  <c r="B15" i="26"/>
  <c r="A15" i="26"/>
  <c r="E14" i="26"/>
  <c r="B14" i="26"/>
  <c r="A14" i="26"/>
  <c r="E13" i="26"/>
  <c r="B13" i="26"/>
  <c r="A13" i="26"/>
  <c r="E12" i="26"/>
  <c r="D13" i="7" s="1"/>
  <c r="B12" i="26"/>
  <c r="A12" i="26"/>
  <c r="E11" i="26"/>
  <c r="D12" i="7" s="1"/>
  <c r="B11" i="26"/>
  <c r="A11" i="26"/>
  <c r="E10" i="26"/>
  <c r="D11" i="7" s="1"/>
  <c r="B10" i="26"/>
  <c r="A10" i="26"/>
  <c r="E9" i="26"/>
  <c r="D10" i="7" s="1"/>
  <c r="B9" i="26"/>
  <c r="A9" i="26"/>
  <c r="E8" i="26"/>
  <c r="D9" i="7" s="1"/>
  <c r="B8" i="26"/>
  <c r="A8" i="26"/>
  <c r="E7" i="26"/>
  <c r="D8" i="7" s="1"/>
  <c r="B7" i="26"/>
  <c r="A7" i="26"/>
  <c r="E6" i="26"/>
  <c r="B6" i="26"/>
  <c r="A6" i="26"/>
  <c r="E30" i="27"/>
  <c r="I30" i="27" s="1"/>
  <c r="C31" i="7" s="1"/>
  <c r="B30" i="27"/>
  <c r="A30" i="27"/>
  <c r="E29" i="27"/>
  <c r="B29" i="27"/>
  <c r="A29" i="27"/>
  <c r="E28" i="27"/>
  <c r="B28" i="27"/>
  <c r="A28" i="27"/>
  <c r="E27" i="27"/>
  <c r="I27" i="27" s="1"/>
  <c r="C28" i="7" s="1"/>
  <c r="B27" i="27"/>
  <c r="A27" i="27"/>
  <c r="E26" i="27"/>
  <c r="I26" i="27" s="1"/>
  <c r="C27" i="7" s="1"/>
  <c r="B26" i="27"/>
  <c r="A26" i="27"/>
  <c r="E25" i="27"/>
  <c r="I25" i="27" s="1"/>
  <c r="C26" i="7" s="1"/>
  <c r="B25" i="27"/>
  <c r="A25" i="27"/>
  <c r="E24" i="27"/>
  <c r="B24" i="27"/>
  <c r="A24" i="27"/>
  <c r="E23" i="27"/>
  <c r="B23" i="27"/>
  <c r="A23" i="27"/>
  <c r="E22" i="27"/>
  <c r="I22" i="27" s="1"/>
  <c r="C23" i="7" s="1"/>
  <c r="B22" i="27"/>
  <c r="A22" i="27"/>
  <c r="E21" i="27"/>
  <c r="I21" i="27" s="1"/>
  <c r="C22" i="7" s="1"/>
  <c r="B21" i="27"/>
  <c r="A21" i="27"/>
  <c r="E20" i="27"/>
  <c r="I20" i="27" s="1"/>
  <c r="C21" i="7" s="1"/>
  <c r="B20" i="27"/>
  <c r="A20" i="27"/>
  <c r="E19" i="27"/>
  <c r="I19" i="27" s="1"/>
  <c r="C20" i="7" s="1"/>
  <c r="B19" i="27"/>
  <c r="A19" i="27"/>
  <c r="E18" i="27"/>
  <c r="B18" i="27"/>
  <c r="A18" i="27"/>
  <c r="E17" i="27"/>
  <c r="B17" i="27"/>
  <c r="A17" i="27"/>
  <c r="E16" i="27"/>
  <c r="I16" i="27" s="1"/>
  <c r="C17" i="7" s="1"/>
  <c r="B16" i="27"/>
  <c r="A16" i="27"/>
  <c r="E15" i="27"/>
  <c r="I15" i="27" s="1"/>
  <c r="C16" i="7" s="1"/>
  <c r="B15" i="27"/>
  <c r="A15" i="27"/>
  <c r="E14" i="27"/>
  <c r="B14" i="27"/>
  <c r="A14" i="27"/>
  <c r="E13" i="27"/>
  <c r="B13" i="27"/>
  <c r="A13" i="27"/>
  <c r="E12" i="27"/>
  <c r="I12" i="27" s="1"/>
  <c r="C13" i="7" s="1"/>
  <c r="B12" i="27"/>
  <c r="A12" i="27"/>
  <c r="E11" i="27"/>
  <c r="I11" i="27" s="1"/>
  <c r="C12" i="7" s="1"/>
  <c r="B11" i="27"/>
  <c r="A11" i="27"/>
  <c r="E10" i="27"/>
  <c r="I10" i="27" s="1"/>
  <c r="C11" i="7" s="1"/>
  <c r="B10" i="27"/>
  <c r="A10" i="27"/>
  <c r="E9" i="27"/>
  <c r="I9" i="27" s="1"/>
  <c r="C10" i="7" s="1"/>
  <c r="B9" i="27"/>
  <c r="A9" i="27"/>
  <c r="E8" i="27"/>
  <c r="I8" i="27" s="1"/>
  <c r="C9" i="7" s="1"/>
  <c r="B8" i="27"/>
  <c r="A8" i="27"/>
  <c r="E7" i="27"/>
  <c r="I7" i="27" s="1"/>
  <c r="C8" i="7" s="1"/>
  <c r="B7" i="27"/>
  <c r="A7" i="27"/>
  <c r="E6" i="27"/>
  <c r="I6" i="27" s="1"/>
  <c r="C7" i="7" s="1"/>
  <c r="B6" i="27"/>
  <c r="A6" i="27"/>
  <c r="F30" i="30"/>
  <c r="D30" i="30"/>
  <c r="B30" i="30"/>
  <c r="A30" i="30"/>
  <c r="F29" i="30"/>
  <c r="D29" i="30"/>
  <c r="B29" i="30"/>
  <c r="A29" i="30"/>
  <c r="F28" i="30"/>
  <c r="D28" i="30"/>
  <c r="B28" i="30"/>
  <c r="A28" i="30"/>
  <c r="F27" i="30"/>
  <c r="D27" i="30"/>
  <c r="B27" i="30"/>
  <c r="A27" i="30"/>
  <c r="F26" i="30"/>
  <c r="D26" i="30"/>
  <c r="B26" i="30"/>
  <c r="A26" i="30"/>
  <c r="F25" i="30"/>
  <c r="D25" i="30"/>
  <c r="B25" i="30"/>
  <c r="A25" i="30"/>
  <c r="F24" i="30"/>
  <c r="D24" i="30"/>
  <c r="B24" i="30"/>
  <c r="A24" i="30"/>
  <c r="F23" i="30"/>
  <c r="D23" i="30"/>
  <c r="B23" i="30"/>
  <c r="A23" i="30"/>
  <c r="F22" i="30"/>
  <c r="D22" i="30"/>
  <c r="B22" i="30"/>
  <c r="A22" i="30"/>
  <c r="F21" i="30"/>
  <c r="D21" i="30"/>
  <c r="B21" i="30"/>
  <c r="A21" i="30"/>
  <c r="F20" i="30"/>
  <c r="D20" i="30"/>
  <c r="B20" i="30"/>
  <c r="A20" i="30"/>
  <c r="F19" i="30"/>
  <c r="D19" i="30"/>
  <c r="B19" i="30"/>
  <c r="A19" i="30"/>
  <c r="F18" i="30"/>
  <c r="D18" i="30"/>
  <c r="B18" i="30"/>
  <c r="A18" i="30"/>
  <c r="F17" i="30"/>
  <c r="D17" i="30"/>
  <c r="B17" i="30"/>
  <c r="A17" i="30"/>
  <c r="F16" i="30"/>
  <c r="D16" i="30"/>
  <c r="B16" i="30"/>
  <c r="A16" i="30"/>
  <c r="F15" i="30"/>
  <c r="D15" i="30"/>
  <c r="B15" i="30"/>
  <c r="A15" i="30"/>
  <c r="F14" i="30"/>
  <c r="D14" i="30"/>
  <c r="B14" i="30"/>
  <c r="A14" i="30"/>
  <c r="F13" i="30"/>
  <c r="D13" i="30"/>
  <c r="B13" i="30"/>
  <c r="A13" i="30"/>
  <c r="F12" i="30"/>
  <c r="D12" i="30"/>
  <c r="B12" i="30"/>
  <c r="A12" i="30"/>
  <c r="F11" i="30"/>
  <c r="D11" i="30"/>
  <c r="B11" i="30"/>
  <c r="A11" i="30"/>
  <c r="F10" i="30"/>
  <c r="D10" i="30"/>
  <c r="B10" i="30"/>
  <c r="A10" i="30"/>
  <c r="F9" i="30"/>
  <c r="D9" i="30"/>
  <c r="B9" i="30"/>
  <c r="A9" i="30"/>
  <c r="F8" i="30"/>
  <c r="D8" i="30"/>
  <c r="B8" i="30"/>
  <c r="A8" i="30"/>
  <c r="F7" i="30"/>
  <c r="D7" i="30"/>
  <c r="B7" i="30"/>
  <c r="A7" i="30"/>
  <c r="F6" i="30"/>
  <c r="D6" i="30"/>
  <c r="B6" i="30"/>
  <c r="A6" i="30"/>
  <c r="B30" i="25"/>
  <c r="A30" i="25"/>
  <c r="B29" i="25"/>
  <c r="A29" i="25"/>
  <c r="B28" i="25"/>
  <c r="A28" i="25"/>
  <c r="B27" i="25"/>
  <c r="A27" i="25"/>
  <c r="B26" i="25"/>
  <c r="A26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B13" i="25"/>
  <c r="A13" i="25"/>
  <c r="B12" i="25"/>
  <c r="A12" i="25"/>
  <c r="B11" i="25"/>
  <c r="A11" i="25"/>
  <c r="B10" i="25"/>
  <c r="A10" i="25"/>
  <c r="B9" i="25"/>
  <c r="A9" i="25"/>
  <c r="B8" i="25"/>
  <c r="A8" i="25"/>
  <c r="B7" i="25"/>
  <c r="A7" i="25"/>
  <c r="B6" i="25"/>
  <c r="A6" i="25"/>
  <c r="B30" i="29"/>
  <c r="A30" i="29"/>
  <c r="B29" i="29"/>
  <c r="A29" i="29"/>
  <c r="B28" i="29"/>
  <c r="A28" i="29"/>
  <c r="B27" i="29"/>
  <c r="A27" i="29"/>
  <c r="B26" i="29"/>
  <c r="A26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B13" i="29"/>
  <c r="A13" i="29"/>
  <c r="B12" i="29"/>
  <c r="A12" i="29"/>
  <c r="B11" i="29"/>
  <c r="A11" i="29"/>
  <c r="B10" i="29"/>
  <c r="A10" i="29"/>
  <c r="B9" i="29"/>
  <c r="A9" i="29"/>
  <c r="B8" i="29"/>
  <c r="A8" i="29"/>
  <c r="B7" i="29"/>
  <c r="A7" i="29"/>
  <c r="B6" i="29"/>
  <c r="A6" i="29"/>
  <c r="B30" i="23"/>
  <c r="A30" i="23"/>
  <c r="B29" i="23"/>
  <c r="A29" i="23"/>
  <c r="B28" i="23"/>
  <c r="A28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B13" i="23"/>
  <c r="A13" i="23"/>
  <c r="B12" i="23"/>
  <c r="A12" i="23"/>
  <c r="B11" i="23"/>
  <c r="A11" i="23"/>
  <c r="B10" i="23"/>
  <c r="A10" i="23"/>
  <c r="B9" i="23"/>
  <c r="A9" i="23"/>
  <c r="B8" i="23"/>
  <c r="A8" i="23"/>
  <c r="B7" i="23"/>
  <c r="A7" i="23"/>
  <c r="B6" i="23"/>
  <c r="A6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30" i="24"/>
  <c r="J29" i="24"/>
  <c r="J28" i="24"/>
  <c r="J27" i="24"/>
  <c r="J26" i="24"/>
  <c r="J25" i="24"/>
  <c r="J24" i="24"/>
  <c r="J23" i="24"/>
  <c r="J22" i="24"/>
  <c r="J21" i="24"/>
  <c r="J20" i="24"/>
  <c r="J19" i="24"/>
  <c r="J13" i="24"/>
  <c r="J34" i="24" s="1"/>
  <c r="J12" i="24"/>
  <c r="J11" i="24"/>
  <c r="J10" i="24"/>
  <c r="J9" i="24"/>
  <c r="J8" i="24"/>
  <c r="J7" i="24"/>
  <c r="J6" i="24"/>
  <c r="J18" i="24"/>
  <c r="B30" i="24"/>
  <c r="A30" i="24"/>
  <c r="B29" i="24"/>
  <c r="A29" i="24"/>
  <c r="B28" i="24"/>
  <c r="A28" i="24"/>
  <c r="B27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B13" i="24"/>
  <c r="A13" i="24"/>
  <c r="B12" i="24"/>
  <c r="A12" i="24"/>
  <c r="B11" i="24"/>
  <c r="A11" i="24"/>
  <c r="B10" i="24"/>
  <c r="A10" i="24"/>
  <c r="B9" i="24"/>
  <c r="A9" i="24"/>
  <c r="B8" i="24"/>
  <c r="A8" i="24"/>
  <c r="B7" i="24"/>
  <c r="A7" i="24"/>
  <c r="B6" i="24"/>
  <c r="A6" i="24"/>
  <c r="A5" i="23"/>
  <c r="B5" i="23"/>
  <c r="B5" i="24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3" i="32"/>
  <c r="J12" i="32"/>
  <c r="J11" i="32"/>
  <c r="J10" i="32"/>
  <c r="J9" i="32"/>
  <c r="J8" i="32"/>
  <c r="J7" i="32"/>
  <c r="J6" i="32"/>
  <c r="J5" i="32"/>
  <c r="C21" i="5" l="1"/>
  <c r="E21" i="5" s="1"/>
  <c r="G21" i="5" s="1"/>
  <c r="F22" i="7" s="1"/>
  <c r="C9" i="5"/>
  <c r="E9" i="5" s="1"/>
  <c r="G9" i="5" s="1"/>
  <c r="F10" i="7" s="1"/>
  <c r="C25" i="5"/>
  <c r="E25" i="5" s="1"/>
  <c r="G25" i="5" s="1"/>
  <c r="F26" i="7" s="1"/>
  <c r="C6" i="5"/>
  <c r="E6" i="5" s="1"/>
  <c r="G6" i="5" s="1"/>
  <c r="F7" i="7" s="1"/>
  <c r="C14" i="5"/>
  <c r="C22" i="5"/>
  <c r="E22" i="5" s="1"/>
  <c r="G22" i="5" s="1"/>
  <c r="F23" i="7" s="1"/>
  <c r="C26" i="5"/>
  <c r="E26" i="5" s="1"/>
  <c r="G26" i="5" s="1"/>
  <c r="F27" i="7" s="1"/>
  <c r="C7" i="5"/>
  <c r="E7" i="5" s="1"/>
  <c r="G7" i="5" s="1"/>
  <c r="F8" i="7" s="1"/>
  <c r="C11" i="5"/>
  <c r="E11" i="5" s="1"/>
  <c r="G11" i="5" s="1"/>
  <c r="F12" i="7" s="1"/>
  <c r="C15" i="5"/>
  <c r="E15" i="5" s="1"/>
  <c r="G15" i="5" s="1"/>
  <c r="F16" i="7" s="1"/>
  <c r="C19" i="5"/>
  <c r="E19" i="5" s="1"/>
  <c r="G19" i="5" s="1"/>
  <c r="F20" i="7" s="1"/>
  <c r="C27" i="5"/>
  <c r="E27" i="5" s="1"/>
  <c r="G27" i="5" s="1"/>
  <c r="F28" i="7" s="1"/>
  <c r="C10" i="5"/>
  <c r="E10" i="5" s="1"/>
  <c r="G10" i="5" s="1"/>
  <c r="F11" i="7" s="1"/>
  <c r="C18" i="5"/>
  <c r="E18" i="5" s="1"/>
  <c r="C30" i="5"/>
  <c r="E30" i="5" s="1"/>
  <c r="G30" i="5" s="1"/>
  <c r="F31" i="7" s="1"/>
  <c r="C8" i="5"/>
  <c r="E8" i="5" s="1"/>
  <c r="G8" i="5" s="1"/>
  <c r="F9" i="7" s="1"/>
  <c r="C12" i="5"/>
  <c r="E12" i="5" s="1"/>
  <c r="G12" i="5" s="1"/>
  <c r="F13" i="7" s="1"/>
  <c r="C16" i="5"/>
  <c r="E16" i="5" s="1"/>
  <c r="G16" i="5" s="1"/>
  <c r="F17" i="7" s="1"/>
  <c r="C20" i="5"/>
  <c r="E20" i="5" s="1"/>
  <c r="G20" i="5" s="1"/>
  <c r="F21" i="7" s="1"/>
  <c r="J37" i="32"/>
  <c r="J34" i="32"/>
  <c r="I23" i="26"/>
  <c r="E36" i="26"/>
  <c r="D7" i="7"/>
  <c r="G7" i="7" s="1"/>
  <c r="E33" i="26"/>
  <c r="I13" i="26"/>
  <c r="E34" i="26"/>
  <c r="I17" i="26"/>
  <c r="H17" i="31" s="1"/>
  <c r="E35" i="26"/>
  <c r="I28" i="26"/>
  <c r="E37" i="26"/>
  <c r="I28" i="27"/>
  <c r="E37" i="27"/>
  <c r="I23" i="27"/>
  <c r="H23" i="31" s="1"/>
  <c r="E36" i="27"/>
  <c r="I13" i="27"/>
  <c r="H13" i="31" s="1"/>
  <c r="E34" i="27"/>
  <c r="I17" i="27"/>
  <c r="E35" i="27"/>
  <c r="J35" i="24"/>
  <c r="C23" i="5"/>
  <c r="J36" i="23"/>
  <c r="C13" i="5"/>
  <c r="J34" i="23"/>
  <c r="C17" i="5"/>
  <c r="J35" i="23"/>
  <c r="C28" i="5"/>
  <c r="J37" i="23"/>
  <c r="J33" i="32"/>
  <c r="J35" i="32"/>
  <c r="J36" i="32"/>
  <c r="J37" i="24"/>
  <c r="J36" i="24"/>
  <c r="E38" i="32"/>
  <c r="I38" i="32"/>
  <c r="J31" i="32"/>
  <c r="C24" i="5"/>
  <c r="I29" i="27"/>
  <c r="G11" i="7"/>
  <c r="I14" i="26"/>
  <c r="I18" i="26"/>
  <c r="G23" i="7"/>
  <c r="G27" i="7"/>
  <c r="G31" i="7"/>
  <c r="G38" i="32"/>
  <c r="C29" i="5"/>
  <c r="I24" i="27"/>
  <c r="G10" i="7"/>
  <c r="G22" i="7"/>
  <c r="G26" i="7"/>
  <c r="I29" i="26"/>
  <c r="E14" i="5"/>
  <c r="G9" i="7"/>
  <c r="G13" i="7"/>
  <c r="G17" i="7"/>
  <c r="G21" i="7"/>
  <c r="I24" i="26"/>
  <c r="I14" i="27"/>
  <c r="I18" i="27"/>
  <c r="G8" i="7"/>
  <c r="G12" i="7"/>
  <c r="G16" i="7"/>
  <c r="G20" i="7"/>
  <c r="G28" i="7"/>
  <c r="C6" i="25"/>
  <c r="E6" i="25" s="1"/>
  <c r="G6" i="25" s="1"/>
  <c r="E7" i="7" s="1"/>
  <c r="J6" i="29"/>
  <c r="C10" i="25"/>
  <c r="E10" i="25" s="1"/>
  <c r="G10" i="25" s="1"/>
  <c r="E11" i="7" s="1"/>
  <c r="J10" i="29"/>
  <c r="C12" i="25"/>
  <c r="E12" i="25" s="1"/>
  <c r="G12" i="25" s="1"/>
  <c r="E13" i="7" s="1"/>
  <c r="J12" i="29"/>
  <c r="C21" i="25"/>
  <c r="E21" i="25" s="1"/>
  <c r="G21" i="25" s="1"/>
  <c r="E22" i="7" s="1"/>
  <c r="J21" i="29"/>
  <c r="C23" i="25"/>
  <c r="J23" i="29"/>
  <c r="C27" i="25"/>
  <c r="E27" i="25" s="1"/>
  <c r="G27" i="25" s="1"/>
  <c r="E28" i="7" s="1"/>
  <c r="J27" i="29"/>
  <c r="C18" i="25"/>
  <c r="J18" i="29"/>
  <c r="C7" i="25"/>
  <c r="E7" i="25" s="1"/>
  <c r="G7" i="25" s="1"/>
  <c r="E8" i="7" s="1"/>
  <c r="J7" i="29"/>
  <c r="C9" i="25"/>
  <c r="E9" i="25" s="1"/>
  <c r="G9" i="25" s="1"/>
  <c r="E10" i="7" s="1"/>
  <c r="J9" i="29"/>
  <c r="C11" i="25"/>
  <c r="E11" i="25" s="1"/>
  <c r="G11" i="25" s="1"/>
  <c r="E12" i="7" s="1"/>
  <c r="J11" i="29"/>
  <c r="C13" i="25"/>
  <c r="J13" i="29"/>
  <c r="C20" i="25"/>
  <c r="E20" i="25" s="1"/>
  <c r="G20" i="25" s="1"/>
  <c r="E21" i="7" s="1"/>
  <c r="J20" i="29"/>
  <c r="C22" i="25"/>
  <c r="E22" i="25" s="1"/>
  <c r="G22" i="25" s="1"/>
  <c r="E23" i="7" s="1"/>
  <c r="J22" i="29"/>
  <c r="C24" i="25"/>
  <c r="E24" i="25" s="1"/>
  <c r="G24" i="25" s="1"/>
  <c r="E25" i="7" s="1"/>
  <c r="J24" i="29"/>
  <c r="C26" i="25"/>
  <c r="E26" i="25" s="1"/>
  <c r="G26" i="25" s="1"/>
  <c r="E27" i="7" s="1"/>
  <c r="H27" i="7" s="1"/>
  <c r="J26" i="29"/>
  <c r="C28" i="25"/>
  <c r="J28" i="29"/>
  <c r="C30" i="25"/>
  <c r="E30" i="25" s="1"/>
  <c r="G30" i="25" s="1"/>
  <c r="E31" i="7" s="1"/>
  <c r="J30" i="29"/>
  <c r="C8" i="25"/>
  <c r="E8" i="25" s="1"/>
  <c r="G8" i="25" s="1"/>
  <c r="E9" i="7" s="1"/>
  <c r="J8" i="29"/>
  <c r="C19" i="25"/>
  <c r="E19" i="25" s="1"/>
  <c r="G19" i="25" s="1"/>
  <c r="E20" i="7" s="1"/>
  <c r="H20" i="7" s="1"/>
  <c r="J19" i="29"/>
  <c r="C25" i="25"/>
  <c r="E25" i="25" s="1"/>
  <c r="G25" i="25" s="1"/>
  <c r="E26" i="7" s="1"/>
  <c r="J25" i="29"/>
  <c r="C29" i="25"/>
  <c r="E29" i="25" s="1"/>
  <c r="G29" i="25" s="1"/>
  <c r="E30" i="7" s="1"/>
  <c r="J29" i="29"/>
  <c r="H10" i="31"/>
  <c r="H20" i="31"/>
  <c r="H9" i="31"/>
  <c r="H15" i="31"/>
  <c r="H19" i="31"/>
  <c r="E7" i="31"/>
  <c r="E6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H7" i="31"/>
  <c r="H8" i="31"/>
  <c r="H11" i="31"/>
  <c r="H12" i="31"/>
  <c r="H16" i="31"/>
  <c r="H21" i="31"/>
  <c r="H22" i="31"/>
  <c r="H25" i="31"/>
  <c r="H26" i="31"/>
  <c r="H27" i="31"/>
  <c r="H30" i="31"/>
  <c r="D38" i="32"/>
  <c r="F38" i="32"/>
  <c r="H38" i="32"/>
  <c r="D33" i="29"/>
  <c r="E33" i="29"/>
  <c r="F33" i="29"/>
  <c r="G33" i="29"/>
  <c r="H33" i="29"/>
  <c r="I33" i="29"/>
  <c r="D35" i="29"/>
  <c r="E35" i="29"/>
  <c r="F35" i="29"/>
  <c r="G35" i="29"/>
  <c r="H35" i="29"/>
  <c r="I35" i="29"/>
  <c r="D36" i="29"/>
  <c r="E36" i="29"/>
  <c r="F36" i="29"/>
  <c r="G36" i="29"/>
  <c r="H36" i="29"/>
  <c r="I36" i="29"/>
  <c r="D37" i="29"/>
  <c r="E37" i="29"/>
  <c r="F37" i="29"/>
  <c r="G37" i="29"/>
  <c r="H37" i="29"/>
  <c r="I37" i="29"/>
  <c r="D31" i="24"/>
  <c r="E31" i="24"/>
  <c r="F31" i="24"/>
  <c r="G31" i="24"/>
  <c r="H31" i="24"/>
  <c r="I31" i="24"/>
  <c r="I31" i="23"/>
  <c r="C31" i="23"/>
  <c r="D31" i="23"/>
  <c r="E31" i="23"/>
  <c r="F31" i="23"/>
  <c r="G31" i="23"/>
  <c r="H31" i="23"/>
  <c r="H28" i="31" l="1"/>
  <c r="I22" i="7"/>
  <c r="I12" i="7"/>
  <c r="I9" i="7"/>
  <c r="I10" i="7"/>
  <c r="H31" i="7"/>
  <c r="H23" i="7"/>
  <c r="H28" i="7"/>
  <c r="H21" i="7"/>
  <c r="I11" i="7"/>
  <c r="C18" i="30"/>
  <c r="H13" i="7"/>
  <c r="H14" i="31"/>
  <c r="I7" i="7"/>
  <c r="D18" i="7"/>
  <c r="I35" i="26"/>
  <c r="D29" i="7"/>
  <c r="I37" i="26"/>
  <c r="D24" i="7"/>
  <c r="I36" i="26"/>
  <c r="H6" i="31"/>
  <c r="D14" i="7"/>
  <c r="I34" i="26"/>
  <c r="C18" i="7"/>
  <c r="I35" i="27"/>
  <c r="C24" i="7"/>
  <c r="I36" i="27"/>
  <c r="C14" i="7"/>
  <c r="I34" i="27"/>
  <c r="C29" i="7"/>
  <c r="I37" i="27"/>
  <c r="E28" i="5"/>
  <c r="C37" i="5"/>
  <c r="E13" i="5"/>
  <c r="C34" i="5"/>
  <c r="C5" i="5"/>
  <c r="C33" i="5" s="1"/>
  <c r="J33" i="23"/>
  <c r="E17" i="5"/>
  <c r="C35" i="5"/>
  <c r="E23" i="5"/>
  <c r="C36" i="5"/>
  <c r="E13" i="25"/>
  <c r="H10" i="7"/>
  <c r="I26" i="7"/>
  <c r="E28" i="25"/>
  <c r="C37" i="25"/>
  <c r="I8" i="7"/>
  <c r="C9" i="30"/>
  <c r="E18" i="25"/>
  <c r="G18" i="25" s="1"/>
  <c r="E19" i="7" s="1"/>
  <c r="E23" i="25"/>
  <c r="C36" i="25"/>
  <c r="C30" i="30"/>
  <c r="C21" i="30"/>
  <c r="C20" i="30"/>
  <c r="H29" i="31"/>
  <c r="C27" i="30"/>
  <c r="C25" i="30"/>
  <c r="C13" i="30"/>
  <c r="H24" i="31"/>
  <c r="H18" i="31"/>
  <c r="C23" i="30"/>
  <c r="C7" i="30"/>
  <c r="H11" i="7"/>
  <c r="H22" i="7"/>
  <c r="H7" i="7"/>
  <c r="H26" i="7"/>
  <c r="I13" i="7"/>
  <c r="H8" i="7"/>
  <c r="I28" i="7"/>
  <c r="I27" i="7"/>
  <c r="I23" i="7"/>
  <c r="H9" i="7"/>
  <c r="I21" i="7"/>
  <c r="I31" i="7"/>
  <c r="H12" i="7"/>
  <c r="I20" i="7"/>
  <c r="C15" i="7"/>
  <c r="D25" i="7"/>
  <c r="G14" i="5"/>
  <c r="D15" i="7"/>
  <c r="C30" i="7"/>
  <c r="J38" i="32"/>
  <c r="C25" i="7"/>
  <c r="E24" i="5"/>
  <c r="C19" i="30"/>
  <c r="C29" i="30"/>
  <c r="C19" i="7"/>
  <c r="G18" i="5"/>
  <c r="D30" i="7"/>
  <c r="E29" i="5"/>
  <c r="E29" i="30" s="1"/>
  <c r="D19" i="7"/>
  <c r="J14" i="29"/>
  <c r="C26" i="30"/>
  <c r="C6" i="30"/>
  <c r="C10" i="30"/>
  <c r="E20" i="30"/>
  <c r="E21" i="30"/>
  <c r="C22" i="30"/>
  <c r="E25" i="30"/>
  <c r="C24" i="30"/>
  <c r="C28" i="30"/>
  <c r="C8" i="30"/>
  <c r="C12" i="30"/>
  <c r="C11" i="30"/>
  <c r="E27" i="30"/>
  <c r="E19" i="30"/>
  <c r="E30" i="30"/>
  <c r="E9" i="30"/>
  <c r="E7" i="30"/>
  <c r="J31" i="23"/>
  <c r="C31" i="5" l="1"/>
  <c r="E5" i="5"/>
  <c r="E33" i="5" s="1"/>
  <c r="E13" i="30"/>
  <c r="C37" i="7"/>
  <c r="C38" i="7"/>
  <c r="C40" i="7"/>
  <c r="C39" i="7"/>
  <c r="D39" i="7"/>
  <c r="D38" i="7"/>
  <c r="D37" i="7"/>
  <c r="D40" i="7"/>
  <c r="G29" i="7"/>
  <c r="G24" i="7"/>
  <c r="G14" i="7"/>
  <c r="G18" i="7"/>
  <c r="E23" i="30"/>
  <c r="G17" i="5"/>
  <c r="E35" i="5"/>
  <c r="G13" i="5"/>
  <c r="E34" i="5"/>
  <c r="G23" i="5"/>
  <c r="E36" i="5"/>
  <c r="G28" i="5"/>
  <c r="E37" i="5"/>
  <c r="E18" i="30"/>
  <c r="G28" i="25"/>
  <c r="E37" i="25"/>
  <c r="G13" i="25"/>
  <c r="G23" i="25"/>
  <c r="G23" i="30" s="1"/>
  <c r="E36" i="25"/>
  <c r="G19" i="7"/>
  <c r="F15" i="7"/>
  <c r="G24" i="5"/>
  <c r="G29" i="5"/>
  <c r="G29" i="30" s="1"/>
  <c r="F19" i="7"/>
  <c r="G15" i="7"/>
  <c r="G25" i="7"/>
  <c r="C38" i="5"/>
  <c r="G30" i="7"/>
  <c r="G7" i="30"/>
  <c r="G21" i="30"/>
  <c r="E6" i="30"/>
  <c r="E24" i="30"/>
  <c r="G9" i="30"/>
  <c r="G27" i="30"/>
  <c r="G25" i="30"/>
  <c r="G30" i="30"/>
  <c r="E12" i="30"/>
  <c r="E28" i="30"/>
  <c r="G19" i="30"/>
  <c r="E11" i="30"/>
  <c r="E8" i="30"/>
  <c r="G18" i="30"/>
  <c r="E22" i="30"/>
  <c r="G20" i="30"/>
  <c r="E10" i="30"/>
  <c r="E26" i="30"/>
  <c r="B5" i="31"/>
  <c r="A5" i="31"/>
  <c r="B5" i="26"/>
  <c r="A5" i="26"/>
  <c r="B5" i="27"/>
  <c r="A5" i="27"/>
  <c r="B5" i="30"/>
  <c r="A5" i="30"/>
  <c r="B5" i="25"/>
  <c r="A5" i="25"/>
  <c r="B5" i="29"/>
  <c r="A5" i="29"/>
  <c r="A5" i="24"/>
  <c r="H31" i="27"/>
  <c r="E31" i="5" l="1"/>
  <c r="G5" i="5"/>
  <c r="F29" i="7"/>
  <c r="G37" i="5"/>
  <c r="F14" i="7"/>
  <c r="F37" i="7" s="1"/>
  <c r="G34" i="5"/>
  <c r="F6" i="7"/>
  <c r="F36" i="7" s="1"/>
  <c r="G33" i="5"/>
  <c r="F24" i="7"/>
  <c r="G36" i="5"/>
  <c r="F18" i="7"/>
  <c r="F38" i="7" s="1"/>
  <c r="G35" i="5"/>
  <c r="G13" i="30"/>
  <c r="E14" i="7"/>
  <c r="E29" i="7"/>
  <c r="E40" i="7" s="1"/>
  <c r="G37" i="25"/>
  <c r="E24" i="7"/>
  <c r="E39" i="7" s="1"/>
  <c r="G36" i="25"/>
  <c r="H19" i="7"/>
  <c r="I19" i="7"/>
  <c r="E38" i="5"/>
  <c r="F25" i="7"/>
  <c r="F30" i="7"/>
  <c r="F40" i="7" s="1"/>
  <c r="G31" i="5"/>
  <c r="G8" i="30"/>
  <c r="G28" i="30"/>
  <c r="G6" i="30"/>
  <c r="G26" i="30"/>
  <c r="G11" i="30"/>
  <c r="G24" i="30"/>
  <c r="G10" i="30"/>
  <c r="G22" i="30"/>
  <c r="G12" i="30"/>
  <c r="F39" i="7" l="1"/>
  <c r="I29" i="7"/>
  <c r="H29" i="7"/>
  <c r="I14" i="7"/>
  <c r="H14" i="7"/>
  <c r="I24" i="7"/>
  <c r="H24" i="7"/>
  <c r="G38" i="5"/>
  <c r="H30" i="7"/>
  <c r="I30" i="7"/>
  <c r="H25" i="7"/>
  <c r="I25" i="7"/>
  <c r="F31" i="25"/>
  <c r="G37" i="31"/>
  <c r="F37" i="31"/>
  <c r="D37" i="31"/>
  <c r="D36" i="31"/>
  <c r="F37" i="30"/>
  <c r="D34" i="31"/>
  <c r="G5" i="31"/>
  <c r="H31" i="26"/>
  <c r="F31" i="26"/>
  <c r="F31" i="31" s="1"/>
  <c r="C31" i="27"/>
  <c r="D5" i="31"/>
  <c r="F5" i="31"/>
  <c r="C5" i="31"/>
  <c r="G38" i="31"/>
  <c r="E5" i="27"/>
  <c r="E33" i="27" s="1"/>
  <c r="D31" i="31"/>
  <c r="C31" i="26"/>
  <c r="D5" i="30"/>
  <c r="F5" i="30"/>
  <c r="D31" i="25"/>
  <c r="D35" i="30"/>
  <c r="I33" i="26" l="1"/>
  <c r="I5" i="27"/>
  <c r="I33" i="27" s="1"/>
  <c r="D33" i="31"/>
  <c r="F34" i="31"/>
  <c r="F33" i="31"/>
  <c r="C34" i="31"/>
  <c r="G34" i="31"/>
  <c r="J15" i="29"/>
  <c r="J16" i="29"/>
  <c r="J17" i="29"/>
  <c r="C38" i="23"/>
  <c r="E38" i="23"/>
  <c r="G38" i="23"/>
  <c r="C35" i="31"/>
  <c r="C38" i="26"/>
  <c r="D38" i="27"/>
  <c r="F35" i="31"/>
  <c r="D38" i="26"/>
  <c r="D35" i="31"/>
  <c r="C36" i="31"/>
  <c r="F36" i="31"/>
  <c r="C37" i="31"/>
  <c r="F38" i="23"/>
  <c r="E5" i="31"/>
  <c r="F38" i="26"/>
  <c r="E31" i="26"/>
  <c r="C31" i="31"/>
  <c r="C38" i="27"/>
  <c r="G33" i="31"/>
  <c r="G35" i="31"/>
  <c r="G36" i="31"/>
  <c r="C38" i="32"/>
  <c r="D38" i="23"/>
  <c r="F35" i="30"/>
  <c r="F38" i="27"/>
  <c r="D37" i="30"/>
  <c r="E31" i="27"/>
  <c r="H38" i="26"/>
  <c r="J5" i="24"/>
  <c r="F33" i="30"/>
  <c r="F31" i="30"/>
  <c r="F34" i="30"/>
  <c r="F36" i="30"/>
  <c r="I38" i="23"/>
  <c r="D36" i="30"/>
  <c r="D34" i="30"/>
  <c r="D33" i="30"/>
  <c r="D38" i="25"/>
  <c r="H38" i="23"/>
  <c r="D31" i="30"/>
  <c r="J5" i="29" l="1"/>
  <c r="J33" i="24"/>
  <c r="J33" i="29" s="1"/>
  <c r="H5" i="31"/>
  <c r="D6" i="7"/>
  <c r="D36" i="7" s="1"/>
  <c r="C6" i="7"/>
  <c r="C36" i="7" s="1"/>
  <c r="D38" i="31"/>
  <c r="J34" i="29"/>
  <c r="F38" i="31"/>
  <c r="C16" i="25"/>
  <c r="C15" i="25"/>
  <c r="C17" i="25"/>
  <c r="C35" i="25" s="1"/>
  <c r="E33" i="31"/>
  <c r="E37" i="31"/>
  <c r="J38" i="23"/>
  <c r="C5" i="25"/>
  <c r="C33" i="25" s="1"/>
  <c r="J36" i="29"/>
  <c r="J35" i="29"/>
  <c r="D38" i="24"/>
  <c r="D38" i="29" s="1"/>
  <c r="C38" i="31"/>
  <c r="H36" i="31"/>
  <c r="H35" i="31"/>
  <c r="E38" i="24"/>
  <c r="E38" i="29" s="1"/>
  <c r="F38" i="24"/>
  <c r="F38" i="29" s="1"/>
  <c r="E35" i="31"/>
  <c r="I31" i="26"/>
  <c r="I31" i="27"/>
  <c r="G38" i="24"/>
  <c r="G38" i="29" s="1"/>
  <c r="E31" i="31"/>
  <c r="E36" i="31"/>
  <c r="E38" i="26"/>
  <c r="C38" i="24"/>
  <c r="C38" i="29" s="1"/>
  <c r="H38" i="24"/>
  <c r="H38" i="29" s="1"/>
  <c r="E34" i="31"/>
  <c r="E38" i="27"/>
  <c r="D38" i="30"/>
  <c r="F38" i="25"/>
  <c r="F38" i="30" s="1"/>
  <c r="I38" i="24"/>
  <c r="I38" i="29" s="1"/>
  <c r="C34" i="25" l="1"/>
  <c r="G6" i="7"/>
  <c r="E38" i="31"/>
  <c r="C5" i="30"/>
  <c r="C33" i="30"/>
  <c r="E17" i="25"/>
  <c r="E35" i="25" s="1"/>
  <c r="C17" i="30"/>
  <c r="E15" i="25"/>
  <c r="C15" i="30"/>
  <c r="C14" i="30"/>
  <c r="E14" i="25"/>
  <c r="E16" i="25"/>
  <c r="C16" i="30"/>
  <c r="H31" i="31"/>
  <c r="H37" i="31"/>
  <c r="E5" i="25"/>
  <c r="E33" i="25" s="1"/>
  <c r="J31" i="24"/>
  <c r="J37" i="29"/>
  <c r="C35" i="30"/>
  <c r="C37" i="30"/>
  <c r="C36" i="30"/>
  <c r="G36" i="7"/>
  <c r="C31" i="25"/>
  <c r="C31" i="30" s="1"/>
  <c r="E37" i="30"/>
  <c r="I38" i="26"/>
  <c r="H33" i="31"/>
  <c r="I38" i="27"/>
  <c r="C34" i="30"/>
  <c r="G39" i="7"/>
  <c r="C32" i="7"/>
  <c r="D32" i="7"/>
  <c r="G37" i="7"/>
  <c r="H34" i="31"/>
  <c r="E36" i="30"/>
  <c r="E5" i="30" l="1"/>
  <c r="G40" i="7"/>
  <c r="E34" i="25"/>
  <c r="G5" i="25"/>
  <c r="G33" i="25" s="1"/>
  <c r="E33" i="30"/>
  <c r="G14" i="25"/>
  <c r="E34" i="30"/>
  <c r="E14" i="30"/>
  <c r="G15" i="25"/>
  <c r="E16" i="7" s="1"/>
  <c r="E15" i="30"/>
  <c r="G17" i="25"/>
  <c r="E17" i="30"/>
  <c r="G16" i="25"/>
  <c r="E17" i="7" s="1"/>
  <c r="E16" i="30"/>
  <c r="G38" i="7"/>
  <c r="J38" i="24"/>
  <c r="J38" i="29" s="1"/>
  <c r="C38" i="25"/>
  <c r="C38" i="30" s="1"/>
  <c r="H38" i="31"/>
  <c r="C41" i="7"/>
  <c r="E35" i="30"/>
  <c r="E31" i="25"/>
  <c r="E31" i="30" s="1"/>
  <c r="G37" i="30"/>
  <c r="D41" i="7"/>
  <c r="G32" i="7"/>
  <c r="G36" i="30"/>
  <c r="E15" i="7" l="1"/>
  <c r="E37" i="7" s="1"/>
  <c r="G34" i="25"/>
  <c r="E18" i="7"/>
  <c r="G35" i="25"/>
  <c r="G35" i="30" s="1"/>
  <c r="I17" i="7"/>
  <c r="H17" i="7"/>
  <c r="I16" i="7"/>
  <c r="H16" i="7"/>
  <c r="G33" i="30"/>
  <c r="G5" i="30"/>
  <c r="E6" i="7"/>
  <c r="E36" i="7" s="1"/>
  <c r="G34" i="30"/>
  <c r="G14" i="30"/>
  <c r="G16" i="30"/>
  <c r="G15" i="30"/>
  <c r="G17" i="30"/>
  <c r="G41" i="7"/>
  <c r="G31" i="25"/>
  <c r="G31" i="30" s="1"/>
  <c r="F32" i="7"/>
  <c r="F41" i="7" s="1"/>
  <c r="E38" i="25"/>
  <c r="E38" i="30" s="1"/>
  <c r="H18" i="7" l="1"/>
  <c r="E38" i="7"/>
  <c r="H38" i="7" s="1"/>
  <c r="I18" i="7"/>
  <c r="H15" i="7"/>
  <c r="H37" i="7"/>
  <c r="I15" i="7"/>
  <c r="J29" i="7"/>
  <c r="J17" i="7"/>
  <c r="J12" i="7"/>
  <c r="J8" i="7"/>
  <c r="J28" i="7"/>
  <c r="J31" i="7"/>
  <c r="J23" i="7"/>
  <c r="J19" i="7"/>
  <c r="J18" i="7"/>
  <c r="J11" i="7"/>
  <c r="J7" i="7"/>
  <c r="J21" i="7"/>
  <c r="J13" i="7"/>
  <c r="J9" i="7"/>
  <c r="J25" i="7"/>
  <c r="J24" i="7"/>
  <c r="J27" i="7"/>
  <c r="J22" i="7"/>
  <c r="J15" i="7"/>
  <c r="J14" i="7"/>
  <c r="J10" i="7"/>
  <c r="J26" i="7"/>
  <c r="J30" i="7"/>
  <c r="J16" i="7"/>
  <c r="J20" i="7"/>
  <c r="H6" i="7"/>
  <c r="I6" i="7"/>
  <c r="J40" i="7"/>
  <c r="J41" i="7"/>
  <c r="J36" i="7"/>
  <c r="G38" i="25"/>
  <c r="G38" i="30" s="1"/>
  <c r="J32" i="7"/>
  <c r="E32" i="7"/>
  <c r="J37" i="7"/>
  <c r="J39" i="7"/>
  <c r="J38" i="7"/>
  <c r="J6" i="7"/>
  <c r="H39" i="7"/>
  <c r="I39" i="7"/>
  <c r="I38" i="7" l="1"/>
  <c r="I32" i="7"/>
  <c r="E41" i="7"/>
  <c r="I41" i="7" s="1"/>
  <c r="I37" i="7"/>
  <c r="H32" i="7"/>
  <c r="H36" i="7"/>
  <c r="I36" i="7"/>
  <c r="I40" i="7" l="1"/>
  <c r="H40" i="7"/>
  <c r="H41" i="7"/>
</calcChain>
</file>

<file path=xl/sharedStrings.xml><?xml version="1.0" encoding="utf-8"?>
<sst xmlns="http://schemas.openxmlformats.org/spreadsheetml/2006/main" count="2961" uniqueCount="261">
  <si>
    <t>Sygehus</t>
  </si>
  <si>
    <t>Rigshospitalet</t>
  </si>
  <si>
    <t>Gentofte Hospital</t>
  </si>
  <si>
    <t>Glostrup Hospital</t>
  </si>
  <si>
    <t>Herlev Hospital</t>
  </si>
  <si>
    <t>Nordsjællands Hospital</t>
  </si>
  <si>
    <t>Bornholms Hospital</t>
  </si>
  <si>
    <t>Odense Universitetshospital</t>
  </si>
  <si>
    <t>Sydvestjysk Sygehus</t>
  </si>
  <si>
    <t>Sygehus Thy - Mors</t>
  </si>
  <si>
    <t>Sygehus Vendsyssel</t>
  </si>
  <si>
    <t>Sygehus Himmerland</t>
  </si>
  <si>
    <t>Nr.</t>
  </si>
  <si>
    <t>Skema 1</t>
  </si>
  <si>
    <t>Skema 2</t>
  </si>
  <si>
    <t>Skema 3</t>
  </si>
  <si>
    <t>Skema 4</t>
  </si>
  <si>
    <t>Skema 5</t>
  </si>
  <si>
    <t>Skema 6</t>
  </si>
  <si>
    <t>Skema 7</t>
  </si>
  <si>
    <t>Hele landet</t>
  </si>
  <si>
    <t>Totale driftsudgifter, ekskl. udgifter der ikke bidrager til somatisk patient behandling</t>
  </si>
  <si>
    <t>Internt finansieret forskning 
(-)</t>
  </si>
  <si>
    <t>Korrigeret produktionsværdi, mio. kr.</t>
  </si>
  <si>
    <t>Udgifter</t>
  </si>
  <si>
    <t>Produktivitet</t>
  </si>
  <si>
    <t>Produk-tivitets-niveau</t>
  </si>
  <si>
    <t>Medicin på ambulante afdelinger
(-)</t>
  </si>
  <si>
    <t>De korrigerede tilrettede driftsudgifter
(=)</t>
  </si>
  <si>
    <t>De tilrettede driftsudgifter 
(=)</t>
  </si>
  <si>
    <t xml:space="preserve">Ambulant produktions-værdi inkl. genoptræning </t>
  </si>
  <si>
    <t xml:space="preserve">Stationær produktions-værdi inkl. genoptræning </t>
  </si>
  <si>
    <t xml:space="preserve">Korrektion for forskelle i organisering
(-) </t>
  </si>
  <si>
    <t>Produk-tionsværdi</t>
  </si>
  <si>
    <t>Hovedstaden</t>
  </si>
  <si>
    <t>Sjælland</t>
  </si>
  <si>
    <t>Syddanmark</t>
  </si>
  <si>
    <t>Midtjylland</t>
  </si>
  <si>
    <t>Nordjylland</t>
  </si>
  <si>
    <t>Korrigeret produktions-værdi
(=)</t>
  </si>
  <si>
    <t>Sygehus Sønderjylland</t>
  </si>
  <si>
    <t>Ukorrigeret produktions-værdi  i alt
(=)</t>
  </si>
  <si>
    <t>Tabel 1.</t>
  </si>
  <si>
    <t>Tabel 2.</t>
  </si>
  <si>
    <t>Tabel 4.</t>
  </si>
  <si>
    <t>Tabel 5.</t>
  </si>
  <si>
    <t>Tabel 7.</t>
  </si>
  <si>
    <t>Tabel 10.</t>
  </si>
  <si>
    <t>De korrigerede tilrettede driftsudgifter, mio. kr.</t>
  </si>
  <si>
    <t xml:space="preserve">Regionsspeci-fikke korrektioner
(-) </t>
  </si>
  <si>
    <t>Tabel 3.</t>
  </si>
  <si>
    <t>Tabel 6.</t>
  </si>
  <si>
    <t>Tabel 8.</t>
  </si>
  <si>
    <t>Tabel 9.</t>
  </si>
  <si>
    <t xml:space="preserve"> </t>
  </si>
  <si>
    <t>Tabel 0</t>
  </si>
  <si>
    <t>Århus Universitetshospital</t>
  </si>
  <si>
    <t>Hospitalsenheden Vest</t>
  </si>
  <si>
    <t>Regionshospitalet Randers</t>
  </si>
  <si>
    <t>Region Nordjylland</t>
  </si>
  <si>
    <t>I alt</t>
  </si>
  <si>
    <t>Region Midtjylland</t>
  </si>
  <si>
    <t>AUH</t>
  </si>
  <si>
    <t>Region Syddanmark</t>
  </si>
  <si>
    <t>Region Hovedstaden</t>
  </si>
  <si>
    <t>Region Sjælland</t>
  </si>
  <si>
    <t>De resterende ark i mappen indeholder yderligere dokumentation af udvalgte dele af datamaterialet:</t>
  </si>
  <si>
    <t>3. Regionsspecifikke korrektioner i den statslige aktivitetspulje tilpasset produktivitetsanalysen</t>
  </si>
  <si>
    <t>Antal</t>
  </si>
  <si>
    <t>Korrektion</t>
  </si>
  <si>
    <t>Produktivitets-sygehus</t>
  </si>
  <si>
    <t>Gruppe</t>
  </si>
  <si>
    <t>Besøgstype</t>
  </si>
  <si>
    <t>DAGS-gruppe</t>
  </si>
  <si>
    <t>Cancer-grupper</t>
  </si>
  <si>
    <t>Uden besøg</t>
  </si>
  <si>
    <t>PG12C_UB</t>
  </si>
  <si>
    <t>PG12E_UB</t>
  </si>
  <si>
    <t>PG12C</t>
  </si>
  <si>
    <t>PG12E</t>
  </si>
  <si>
    <t>GR2719/22</t>
  </si>
  <si>
    <t>GR2719</t>
  </si>
  <si>
    <t>GR2722</t>
  </si>
  <si>
    <t>DG30J</t>
  </si>
  <si>
    <t>PG11F</t>
  </si>
  <si>
    <t>PG11G</t>
  </si>
  <si>
    <t>PG11D</t>
  </si>
  <si>
    <t>PG11E</t>
  </si>
  <si>
    <t>PG11I</t>
  </si>
  <si>
    <t>AMD</t>
  </si>
  <si>
    <t>PG11F_UB</t>
  </si>
  <si>
    <t>PG11D_UB</t>
  </si>
  <si>
    <t>PG11C</t>
  </si>
  <si>
    <t>GR0209</t>
  </si>
  <si>
    <t>MG90G</t>
  </si>
  <si>
    <t>SP13E_UB</t>
  </si>
  <si>
    <t>PG11H</t>
  </si>
  <si>
    <t>PG11E_UB</t>
  </si>
  <si>
    <t>PG11H_UB</t>
  </si>
  <si>
    <t>PG11C_UB</t>
  </si>
  <si>
    <t>PG11G_UB</t>
  </si>
  <si>
    <t>GR0207</t>
  </si>
  <si>
    <t>PG11A</t>
  </si>
  <si>
    <t>PG11I_UB</t>
  </si>
  <si>
    <t>Hospitalsenhed Midt</t>
  </si>
  <si>
    <t>SP13E</t>
  </si>
  <si>
    <t>PG11J</t>
  </si>
  <si>
    <t>DG30J_UB</t>
  </si>
  <si>
    <t>Holbæk Sygehus</t>
  </si>
  <si>
    <t>De Vestdanske Friklinikker, Give</t>
  </si>
  <si>
    <t xml:space="preserve">Sygehusenes nettodriftsudgifter for 2013, 1.000 kr. 2013 priser </t>
  </si>
  <si>
    <t>Fredericia og Kolding sygehuse</t>
  </si>
  <si>
    <t>Aalborg Universitetshospital</t>
  </si>
  <si>
    <t>2013: Casemix-grupper med medicinkorrektion fordelt på sygehus, overgruppe, besøgstype og casemix-gruppe 2013</t>
  </si>
  <si>
    <t>Roskilde og Køge sygehuse</t>
  </si>
  <si>
    <t>Næstved, Slagelse og Ringsted sygehuse</t>
  </si>
  <si>
    <t>Nykøbing Sygehus</t>
  </si>
  <si>
    <t>Hospitalenheden Horsens</t>
  </si>
  <si>
    <t>PG11B</t>
  </si>
  <si>
    <t>PG11J_UB</t>
  </si>
  <si>
    <t>Referencenummer</t>
  </si>
  <si>
    <t>Korrektionsoverskrift</t>
  </si>
  <si>
    <t>1.</t>
  </si>
  <si>
    <t>2.</t>
  </si>
  <si>
    <t>3.</t>
  </si>
  <si>
    <t>4.</t>
  </si>
  <si>
    <t>5.</t>
  </si>
  <si>
    <t>6.</t>
  </si>
  <si>
    <t>HE Horsens</t>
  </si>
  <si>
    <t>7.</t>
  </si>
  <si>
    <t>8.</t>
  </si>
  <si>
    <t>9.</t>
  </si>
  <si>
    <t>10.</t>
  </si>
  <si>
    <t>11.</t>
  </si>
  <si>
    <t>12.</t>
  </si>
  <si>
    <t>Vejle-Give-Middelfart sygehuse</t>
  </si>
  <si>
    <t>Metode til justering af taksten for den stationære del af aktiviteten i korrektionsberegningen</t>
  </si>
  <si>
    <t>Bispebjerg og Frederiksberg Hospitaler</t>
  </si>
  <si>
    <t>Amager og Hvidovre Hospitaler</t>
  </si>
  <si>
    <t>P/L-faktor (13--&gt;14):</t>
  </si>
  <si>
    <t>½</t>
  </si>
  <si>
    <t>Korrigeret produktionsværdi, 2014-aktivitet med LPR pr. 10. marts 2015, 1.000 kr., 2014-takstsystem</t>
  </si>
  <si>
    <t xml:space="preserve">Sygehusenes nettodriftsudgifter for 2013, 1.000 kr. 2014-priser </t>
  </si>
  <si>
    <t xml:space="preserve">Sygehusenes nettodriftsudgifter for 2014, 1.000 kr. 2014 priser </t>
  </si>
  <si>
    <t>Sygehusenes nettodriftsudgifter, procentvis ændring fra 2013-2014</t>
  </si>
  <si>
    <t xml:space="preserve">Korrigerede tilrettede driftudgifter for 2013, 1.000 kr. 2014 priser </t>
  </si>
  <si>
    <t xml:space="preserve">Korrigerede tilrettede driftudgifter for 2014, 1.000 kr. 2014 priser </t>
  </si>
  <si>
    <t>Korrigerede tilrettede driftudgifter, procentvis ændring fra 2013-2014</t>
  </si>
  <si>
    <t>Korrigeret produktionsværdi, 2013-aktivitet med LPR pr. 10. marts 2014, 1.000 kr., 2014-takstsystem</t>
  </si>
  <si>
    <t>Korrigeret produktionsværdi, procentvis ændring fra 2013-2014</t>
  </si>
  <si>
    <t>Udvikling, 2013-2014, pct.</t>
  </si>
  <si>
    <t>PG12Q_UB</t>
  </si>
  <si>
    <t>PG12F</t>
  </si>
  <si>
    <t>PG12P</t>
  </si>
  <si>
    <t>PG12Q</t>
  </si>
  <si>
    <t>PG12P_UB</t>
  </si>
  <si>
    <t>PG12F_UB</t>
  </si>
  <si>
    <t>GR0212</t>
  </si>
  <si>
    <t>2014: Casemix-grupper med medicinkorrektion fordelt på sygehus, overgruppe, besøgstype og casemix-gruppe 2014</t>
  </si>
  <si>
    <t>MG90C</t>
  </si>
  <si>
    <t>PG11A_UB</t>
  </si>
  <si>
    <t>1. Dokumentation af korrektion for medicin på produktionssiden, 2013:</t>
  </si>
  <si>
    <t>2. Dokumentation af korrektion for medicin på produktionssiden, 2014:</t>
  </si>
  <si>
    <t>Størrelse på endelig korrektion til produktivitetsrapporten (2013-2014)</t>
  </si>
  <si>
    <t>Omregning af korrektioner.                                                                                    Baseres på følgende korrektionsfaktorer af ambulante og stationære takster:               Ambulante takster (v_pris): 3,8 % pct. for høje                                                                          Stationære takster (v_pris): 7,2 pct. for høje</t>
  </si>
  <si>
    <t>2013</t>
  </si>
  <si>
    <t>2014</t>
  </si>
  <si>
    <t xml:space="preserve">Aalborg Universitetshospital </t>
  </si>
  <si>
    <t>Omlægning af aktivitet fra stationær til ambulant</t>
  </si>
  <si>
    <t xml:space="preserve"> - 1Aa</t>
  </si>
  <si>
    <t xml:space="preserve"> - Medicinsk område Dronninglund</t>
  </si>
  <si>
    <t xml:space="preserve"> - 1.Ab</t>
  </si>
  <si>
    <t xml:space="preserve"> - Reumatologi</t>
  </si>
  <si>
    <t xml:space="preserve"> - 1.Ac</t>
  </si>
  <si>
    <t xml:space="preserve"> - Øre-næse-hals</t>
  </si>
  <si>
    <t xml:space="preserve"> - 1.Ad</t>
  </si>
  <si>
    <t xml:space="preserve"> - Kardiologi</t>
  </si>
  <si>
    <t xml:space="preserve"> - 1.Ae</t>
  </si>
  <si>
    <t xml:space="preserve"> - Onkologi</t>
  </si>
  <si>
    <t xml:space="preserve"> - 1.Af</t>
  </si>
  <si>
    <t xml:space="preserve"> - Børneafdelingen</t>
  </si>
  <si>
    <t xml:space="preserve"> - 1.Ba</t>
  </si>
  <si>
    <t xml:space="preserve"> - Endokrinologi</t>
  </si>
  <si>
    <t xml:space="preserve"> - 1.Bb</t>
  </si>
  <si>
    <t xml:space="preserve"> - Nyremedicin</t>
  </si>
  <si>
    <t xml:space="preserve"> - 1.Bc</t>
  </si>
  <si>
    <t xml:space="preserve"> - Gastroenterologi</t>
  </si>
  <si>
    <t xml:space="preserve"> - 1.Bd</t>
  </si>
  <si>
    <t xml:space="preserve"> - Infektionsmedicin</t>
  </si>
  <si>
    <t xml:space="preserve"> - 1.Be</t>
  </si>
  <si>
    <t xml:space="preserve"> - Kirurgisk gastro</t>
  </si>
  <si>
    <t xml:space="preserve"> - 2Aa</t>
  </si>
  <si>
    <t xml:space="preserve"> - 2Ab</t>
  </si>
  <si>
    <t xml:space="preserve"> - 2.Ac</t>
  </si>
  <si>
    <t xml:space="preserve"> - Gynækologi og obstetrik</t>
  </si>
  <si>
    <t xml:space="preserve"> - 2.Ba</t>
  </si>
  <si>
    <t xml:space="preserve"> - Medicinsk</t>
  </si>
  <si>
    <t xml:space="preserve"> - 2.Bb</t>
  </si>
  <si>
    <t xml:space="preserve"> - Kirurgisk</t>
  </si>
  <si>
    <t>Sygehus Thy-Mors og Vendsyssel</t>
  </si>
  <si>
    <t>Øget assistanceregistrering på de billeddiagnostiske afdelinger</t>
  </si>
  <si>
    <t>AUH - Neurologisk</t>
  </si>
  <si>
    <t>Ændring af registreringspraksis for ALS-patienter</t>
  </si>
  <si>
    <t>Ændret behandlingspraksis for IVIG patienter</t>
  </si>
  <si>
    <t>AUH - Ortopædkirurgisk</t>
  </si>
  <si>
    <t>Ændret registrering af Xiapex behandling</t>
  </si>
  <si>
    <t>Sengelukninger hos AUH</t>
  </si>
  <si>
    <t>Hospitalsenhed Vest - Medicinsk</t>
  </si>
  <si>
    <t>Ændring i tilbud til hjertepatienter og anæmipatienter</t>
  </si>
  <si>
    <t>Silkeborg, Hammel, Viborg, Skive</t>
  </si>
  <si>
    <t>Sammenlægning af Silkeborg, Hammel, Viborg og Skive</t>
  </si>
  <si>
    <t>Dobbeltindlæggelser i psykiatrien</t>
  </si>
  <si>
    <t>Regionshospitalet Randers - Gynækol./obstetrisk</t>
  </si>
  <si>
    <t>Ændret tilbud vedr. efterfødselspakker</t>
  </si>
  <si>
    <t>AUH - Infektionsmedicinsk ambulatorium</t>
  </si>
  <si>
    <t>Ændret behandlingspraksis på Infektionsmedicinsk afdeling</t>
  </si>
  <si>
    <t>AUH - MEA</t>
  </si>
  <si>
    <t>Omlægning fra stationær til ambulant regi på MEA</t>
  </si>
  <si>
    <t>Omlægning af thyreoideakontrol på HEH</t>
  </si>
  <si>
    <t>Omlægning af DC på HEH</t>
  </si>
  <si>
    <t>OUH</t>
  </si>
  <si>
    <t>Vedr. sammenlægning af OUH</t>
  </si>
  <si>
    <t>Vedr. sammenlægning af Sygehus Sønderjylland</t>
  </si>
  <si>
    <t>Korrektion for fys-ergo afregning</t>
  </si>
  <si>
    <t>Nykøbing Falster sygehus</t>
  </si>
  <si>
    <t>Organisationsændring ved akutafdelingen</t>
  </si>
  <si>
    <t>Holbæk, Slagelse, Nykøbing F</t>
  </si>
  <si>
    <t>Ændring i registreringspraksis i akutafdelingerne</t>
  </si>
  <si>
    <t>Næstved, Slagelse og Ringsted sygehus.</t>
  </si>
  <si>
    <t>Omlægning af akut og subakut karkirurgi.</t>
  </si>
  <si>
    <t>MALB 08.07.2015</t>
  </si>
  <si>
    <t>Opsummering til sygehusniveau i kr.</t>
  </si>
  <si>
    <t>Ikke niveau-justerede produktionsværdier stationær og ambulant, 2013 og 2014-aktivitet med LPR pr. 10. marts 2015, 1.000 kr., 2014-takstsystem</t>
  </si>
  <si>
    <t>Produktionsværdi, udgifter og produktivitet for amter og sygehuse, 2013-2014</t>
  </si>
  <si>
    <t>4. Ikke niveau-justerede produktionsværdier for stationær og ambulant aktivitet 2013 og 2014, takstsystem 2014</t>
  </si>
  <si>
    <t>Bispebjerg og Frederiksberg Hospital</t>
  </si>
  <si>
    <t>Amager og Hvidovre Hospital</t>
  </si>
  <si>
    <t>Aarhus Universitetshospital</t>
  </si>
  <si>
    <t/>
  </si>
  <si>
    <t>Stykpris
før
korrektion</t>
  </si>
  <si>
    <t>Pris før
korrektion</t>
  </si>
  <si>
    <t>Stykpris
efter
korrektion</t>
  </si>
  <si>
    <t>Pris efter
korrektion</t>
  </si>
  <si>
    <t>BG50C:
Besøg med
journal</t>
  </si>
  <si>
    <t>BG50B:
Besøg pat.
0 - 6 år</t>
  </si>
  <si>
    <t>BG50A:
Besøg pat.
7 år +</t>
  </si>
  <si>
    <t>Andre grupper
inkl. PG11 uden
cancer</t>
  </si>
  <si>
    <t>PG11 med
cancer</t>
  </si>
  <si>
    <t>Roskilde og Køge
sygehuse</t>
  </si>
  <si>
    <t>Næstved, Slagelse og
Ringsted sygehuse</t>
  </si>
  <si>
    <t>Odense
Universitetshospital</t>
  </si>
  <si>
    <t>Hospitalenheden
Horsens</t>
  </si>
  <si>
    <t>Fredericia og Kolding
sygehuse</t>
  </si>
  <si>
    <t>Vejle-Give-Middelfart
sygehuse</t>
  </si>
  <si>
    <t>De Vestdanske
Friklinikker, Give</t>
  </si>
  <si>
    <t>Regionshospitalet
Randers</t>
  </si>
  <si>
    <t>Aalborg
Universitetshospital</t>
  </si>
  <si>
    <t>Bispebjerg og
Frederiksberg
Hospital</t>
  </si>
  <si>
    <t>Amager og Hvidovre
Hospital</t>
  </si>
  <si>
    <t>Aarhus
Universitetshospital</t>
  </si>
  <si>
    <t>Oversigt over regionspecifikke korrektioner til produktivitetsrapporten delrapport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</si>
</sst>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#,##0.000"/>
    <numFmt numFmtId="167" formatCode="0.0000"/>
    <numFmt numFmtId="168" formatCode="###,###,###,##0"/>
    <numFmt numFmtId="169" formatCode="###################################0"/>
    <numFmt numFmtId="170" formatCode="#########################0"/>
  </numFmts>
  <fonts count="35" x14ac:knownFonts="1">
    <font>
      <sz val="10"/>
      <name val="MS Sans Serif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sz val="10"/>
      <name val="Calibri"/>
      <family val="2"/>
    </font>
    <font>
      <b/>
      <i/>
      <sz val="12"/>
      <name val="Arial"/>
      <family val="2"/>
    </font>
    <font>
      <b/>
      <sz val="10"/>
      <name val="Calibri"/>
      <family val="2"/>
    </font>
    <font>
      <i/>
      <sz val="11"/>
      <color rgb="FFFF0000"/>
      <name val="Calibri"/>
      <family val="2"/>
      <scheme val="minor"/>
    </font>
    <font>
      <i/>
      <sz val="10"/>
      <name val="MS Sans Serif"/>
      <family val="2"/>
    </font>
    <font>
      <b/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112277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32">
    <xf numFmtId="0" fontId="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8">
    <xf numFmtId="0" fontId="0" fillId="0" borderId="0" xfId="0"/>
    <xf numFmtId="0" fontId="2" fillId="0" borderId="0" xfId="25" applyFont="1" applyFill="1" applyAlignment="1">
      <alignment horizontal="center"/>
    </xf>
    <xf numFmtId="0" fontId="2" fillId="0" borderId="0" xfId="25" applyFont="1" applyFill="1" applyAlignment="1">
      <alignment horizontal="right"/>
    </xf>
    <xf numFmtId="3" fontId="4" fillId="2" borderId="0" xfId="25" applyNumberFormat="1" applyFont="1" applyFill="1" applyBorder="1" applyAlignment="1">
      <alignment horizontal="right" vertical="center"/>
    </xf>
    <xf numFmtId="0" fontId="4" fillId="2" borderId="3" xfId="20" applyFont="1" applyFill="1" applyBorder="1" applyAlignment="1">
      <alignment horizontal="left" vertical="center" wrapText="1"/>
    </xf>
    <xf numFmtId="3" fontId="4" fillId="2" borderId="9" xfId="20" applyNumberFormat="1" applyFont="1" applyFill="1" applyBorder="1" applyAlignment="1"/>
    <xf numFmtId="3" fontId="4" fillId="2" borderId="3" xfId="20" applyNumberFormat="1" applyFont="1" applyFill="1" applyBorder="1" applyAlignment="1"/>
    <xf numFmtId="0" fontId="4" fillId="2" borderId="2" xfId="20" applyFont="1" applyFill="1" applyBorder="1" applyAlignment="1">
      <alignment horizontal="left" vertical="center" wrapText="1"/>
    </xf>
    <xf numFmtId="3" fontId="4" fillId="2" borderId="2" xfId="20" applyNumberFormat="1" applyFont="1" applyFill="1" applyBorder="1" applyAlignment="1"/>
    <xf numFmtId="3" fontId="4" fillId="2" borderId="2" xfId="25" applyNumberFormat="1" applyFont="1" applyFill="1" applyBorder="1" applyAlignment="1">
      <alignment vertical="center"/>
    </xf>
    <xf numFmtId="3" fontId="4" fillId="2" borderId="6" xfId="20" applyNumberFormat="1" applyFont="1" applyFill="1" applyBorder="1" applyAlignment="1"/>
    <xf numFmtId="0" fontId="6" fillId="2" borderId="1" xfId="25" applyFont="1" applyFill="1" applyBorder="1" applyAlignment="1">
      <alignment horizontal="left" wrapText="1"/>
    </xf>
    <xf numFmtId="0" fontId="6" fillId="2" borderId="1" xfId="25" applyFont="1" applyFill="1" applyBorder="1" applyAlignment="1">
      <alignment horizontal="right" wrapText="1"/>
    </xf>
    <xf numFmtId="0" fontId="4" fillId="2" borderId="1" xfId="25" applyFont="1" applyFill="1" applyBorder="1" applyAlignment="1">
      <alignment horizontal="left"/>
    </xf>
    <xf numFmtId="3" fontId="4" fillId="2" borderId="1" xfId="25" applyNumberFormat="1" applyFont="1" applyFill="1" applyBorder="1" applyAlignment="1">
      <alignment vertical="center"/>
    </xf>
    <xf numFmtId="0" fontId="4" fillId="2" borderId="0" xfId="25" applyFont="1" applyFill="1" applyAlignment="1">
      <alignment horizontal="center"/>
    </xf>
    <xf numFmtId="3" fontId="4" fillId="2" borderId="0" xfId="25" applyNumberFormat="1" applyFont="1" applyFill="1" applyBorder="1" applyAlignment="1">
      <alignment vertical="center"/>
    </xf>
    <xf numFmtId="0" fontId="4" fillId="2" borderId="3" xfId="25" applyFont="1" applyFill="1" applyBorder="1" applyAlignment="1">
      <alignment horizontal="left" wrapText="1"/>
    </xf>
    <xf numFmtId="3" fontId="4" fillId="2" borderId="8" xfId="20" applyNumberFormat="1" applyFont="1" applyFill="1" applyBorder="1" applyAlignment="1"/>
    <xf numFmtId="0" fontId="4" fillId="2" borderId="2" xfId="25" applyFont="1" applyFill="1" applyBorder="1" applyAlignment="1">
      <alignment horizontal="left" wrapText="1"/>
    </xf>
    <xf numFmtId="0" fontId="4" fillId="2" borderId="4" xfId="25" applyFont="1" applyFill="1" applyBorder="1" applyAlignment="1">
      <alignment horizontal="left" wrapText="1"/>
    </xf>
    <xf numFmtId="3" fontId="4" fillId="2" borderId="4" xfId="20" applyNumberFormat="1" applyFont="1" applyFill="1" applyBorder="1" applyAlignment="1"/>
    <xf numFmtId="3" fontId="4" fillId="2" borderId="10" xfId="20" applyNumberFormat="1" applyFont="1" applyFill="1" applyBorder="1" applyAlignment="1"/>
    <xf numFmtId="3" fontId="4" fillId="2" borderId="1" xfId="20" applyNumberFormat="1" applyFont="1" applyFill="1" applyBorder="1" applyAlignment="1"/>
    <xf numFmtId="0" fontId="2" fillId="2" borderId="0" xfId="25" applyFont="1" applyFill="1" applyAlignment="1">
      <alignment horizontal="center"/>
    </xf>
    <xf numFmtId="3" fontId="4" fillId="2" borderId="11" xfId="14" applyNumberFormat="1" applyFont="1" applyFill="1" applyBorder="1"/>
    <xf numFmtId="0" fontId="2" fillId="2" borderId="0" xfId="25" applyFont="1" applyFill="1" applyAlignment="1">
      <alignment horizontal="right"/>
    </xf>
    <xf numFmtId="0" fontId="5" fillId="2" borderId="0" xfId="25" applyFont="1" applyFill="1" applyBorder="1" applyAlignment="1">
      <alignment horizontal="right" vertical="center" wrapText="1"/>
    </xf>
    <xf numFmtId="0" fontId="2" fillId="2" borderId="0" xfId="25" applyFont="1" applyFill="1" applyBorder="1" applyAlignment="1">
      <alignment horizontal="right"/>
    </xf>
    <xf numFmtId="3" fontId="4" fillId="2" borderId="2" xfId="25" applyNumberFormat="1" applyFont="1" applyFill="1" applyBorder="1" applyAlignment="1">
      <alignment vertical="center" wrapText="1"/>
    </xf>
    <xf numFmtId="0" fontId="4" fillId="2" borderId="4" xfId="25" applyFont="1" applyFill="1" applyBorder="1" applyAlignment="1">
      <alignment horizontal="left"/>
    </xf>
    <xf numFmtId="0" fontId="5" fillId="2" borderId="0" xfId="14" applyFont="1" applyFill="1" applyBorder="1" applyAlignment="1">
      <alignment horizontal="left"/>
    </xf>
    <xf numFmtId="0" fontId="10" fillId="2" borderId="0" xfId="14" applyFont="1" applyFill="1" applyBorder="1" applyAlignment="1">
      <alignment horizontal="right"/>
    </xf>
    <xf numFmtId="0" fontId="5" fillId="2" borderId="0" xfId="20" applyFont="1" applyFill="1" applyBorder="1" applyAlignment="1">
      <alignment horizontal="left"/>
    </xf>
    <xf numFmtId="0" fontId="2" fillId="2" borderId="0" xfId="25" quotePrefix="1" applyFont="1" applyFill="1" applyAlignment="1">
      <alignment horizontal="left"/>
    </xf>
    <xf numFmtId="3" fontId="2" fillId="2" borderId="0" xfId="25" applyNumberFormat="1" applyFont="1" applyFill="1" applyAlignment="1">
      <alignment horizontal="center"/>
    </xf>
    <xf numFmtId="3" fontId="2" fillId="2" borderId="0" xfId="25" applyNumberFormat="1" applyFont="1" applyFill="1" applyAlignment="1">
      <alignment horizontal="right"/>
    </xf>
    <xf numFmtId="0" fontId="4" fillId="2" borderId="0" xfId="25" applyFont="1" applyFill="1" applyAlignment="1">
      <alignment horizontal="left"/>
    </xf>
    <xf numFmtId="0" fontId="2" fillId="2" borderId="0" xfId="25" applyFont="1" applyFill="1" applyAlignment="1">
      <alignment horizontal="left"/>
    </xf>
    <xf numFmtId="0" fontId="2" fillId="2" borderId="0" xfId="25" applyFont="1" applyFill="1" applyBorder="1" applyAlignment="1">
      <alignment horizontal="center"/>
    </xf>
    <xf numFmtId="0" fontId="6" fillId="2" borderId="0" xfId="25" applyFont="1" applyFill="1" applyBorder="1" applyAlignment="1">
      <alignment horizontal="center" wrapText="1"/>
    </xf>
    <xf numFmtId="0" fontId="4" fillId="2" borderId="0" xfId="25" applyFont="1" applyFill="1" applyBorder="1" applyAlignment="1">
      <alignment horizontal="center"/>
    </xf>
    <xf numFmtId="0" fontId="4" fillId="2" borderId="0" xfId="25" applyFont="1" applyFill="1" applyBorder="1" applyAlignment="1">
      <alignment horizontal="right"/>
    </xf>
    <xf numFmtId="165" fontId="4" fillId="2" borderId="0" xfId="2" applyNumberFormat="1" applyFont="1" applyFill="1" applyBorder="1" applyAlignment="1">
      <alignment horizontal="right"/>
    </xf>
    <xf numFmtId="0" fontId="10" fillId="2" borderId="0" xfId="14" applyFont="1" applyFill="1" applyBorder="1" applyAlignment="1">
      <alignment horizontal="right" vertical="center" wrapText="1"/>
    </xf>
    <xf numFmtId="3" fontId="4" fillId="2" borderId="0" xfId="25" applyNumberFormat="1" applyFont="1" applyFill="1" applyBorder="1" applyAlignment="1">
      <alignment horizontal="right"/>
    </xf>
    <xf numFmtId="0" fontId="9" fillId="2" borderId="0" xfId="14" applyFont="1" applyFill="1" applyBorder="1" applyAlignment="1">
      <alignment horizontal="left" vertical="center" wrapText="1"/>
    </xf>
    <xf numFmtId="3" fontId="4" fillId="2" borderId="0" xfId="20" applyNumberFormat="1" applyFont="1" applyFill="1" applyBorder="1" applyAlignment="1"/>
    <xf numFmtId="0" fontId="12" fillId="2" borderId="0" xfId="14" applyFont="1" applyFill="1" applyBorder="1" applyAlignment="1">
      <alignment horizontal="right" vertical="center" wrapText="1"/>
    </xf>
    <xf numFmtId="0" fontId="9" fillId="2" borderId="0" xfId="14" applyFont="1" applyFill="1" applyBorder="1" applyAlignment="1">
      <alignment horizontal="right" vertical="center" wrapText="1"/>
    </xf>
    <xf numFmtId="0" fontId="8" fillId="2" borderId="0" xfId="25" applyFont="1" applyFill="1" applyAlignment="1">
      <alignment horizontal="left"/>
    </xf>
    <xf numFmtId="0" fontId="3" fillId="2" borderId="0" xfId="20" applyFill="1"/>
    <xf numFmtId="0" fontId="0" fillId="2" borderId="0" xfId="0" applyFill="1"/>
    <xf numFmtId="0" fontId="10" fillId="2" borderId="0" xfId="20" applyFont="1" applyFill="1" applyBorder="1" applyAlignment="1">
      <alignment horizontal="right"/>
    </xf>
    <xf numFmtId="0" fontId="6" fillId="2" borderId="0" xfId="25" applyFont="1" applyFill="1" applyBorder="1" applyAlignment="1">
      <alignment horizontal="right" wrapText="1"/>
    </xf>
    <xf numFmtId="3" fontId="4" fillId="2" borderId="0" xfId="29" applyNumberFormat="1" applyFont="1" applyFill="1" applyBorder="1" applyAlignment="1">
      <alignment vertical="center" wrapText="1"/>
    </xf>
    <xf numFmtId="165" fontId="4" fillId="2" borderId="0" xfId="1" applyNumberFormat="1" applyFont="1" applyFill="1" applyBorder="1" applyAlignment="1">
      <alignment horizontal="center"/>
    </xf>
    <xf numFmtId="0" fontId="12" fillId="2" borderId="0" xfId="14" applyFont="1" applyFill="1" applyBorder="1" applyAlignment="1">
      <alignment horizontal="left" vertical="center" wrapText="1"/>
    </xf>
    <xf numFmtId="0" fontId="4" fillId="2" borderId="0" xfId="26" applyFont="1" applyFill="1" applyBorder="1" applyAlignment="1">
      <alignment horizontal="right" wrapText="1"/>
    </xf>
    <xf numFmtId="3" fontId="4" fillId="2" borderId="0" xfId="26" applyNumberFormat="1" applyFont="1" applyFill="1" applyBorder="1" applyAlignment="1">
      <alignment horizontal="right" wrapText="1"/>
    </xf>
    <xf numFmtId="165" fontId="4" fillId="2" borderId="0" xfId="25" applyNumberFormat="1" applyFont="1" applyFill="1" applyBorder="1" applyAlignment="1">
      <alignment horizontal="center"/>
    </xf>
    <xf numFmtId="3" fontId="2" fillId="2" borderId="0" xfId="25" applyNumberFormat="1" applyFont="1" applyFill="1" applyBorder="1" applyAlignment="1">
      <alignment horizontal="center"/>
    </xf>
    <xf numFmtId="0" fontId="4" fillId="2" borderId="0" xfId="25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/>
    </xf>
    <xf numFmtId="3" fontId="4" fillId="2" borderId="11" xfId="20" applyNumberFormat="1" applyFont="1" applyFill="1" applyBorder="1"/>
    <xf numFmtId="0" fontId="3" fillId="2" borderId="0" xfId="20" applyFill="1" applyAlignment="1">
      <alignment horizontal="left"/>
    </xf>
    <xf numFmtId="0" fontId="3" fillId="2" borderId="0" xfId="20" applyFill="1" applyBorder="1" applyAlignment="1">
      <alignment horizontal="left"/>
    </xf>
    <xf numFmtId="0" fontId="3" fillId="2" borderId="0" xfId="20" applyFill="1" applyBorder="1"/>
    <xf numFmtId="0" fontId="4" fillId="2" borderId="0" xfId="20" applyFont="1" applyFill="1" applyBorder="1" applyAlignment="1">
      <alignment horizontal="left" vertical="center" wrapText="1"/>
    </xf>
    <xf numFmtId="166" fontId="4" fillId="2" borderId="0" xfId="25" applyNumberFormat="1" applyFont="1" applyFill="1" applyBorder="1" applyAlignment="1">
      <alignment horizontal="right" vertical="center"/>
    </xf>
    <xf numFmtId="3" fontId="3" fillId="2" borderId="0" xfId="20" applyNumberFormat="1" applyFill="1"/>
    <xf numFmtId="0" fontId="6" fillId="2" borderId="3" xfId="25" applyFont="1" applyFill="1" applyBorder="1" applyAlignment="1">
      <alignment horizontal="right" wrapText="1"/>
    </xf>
    <xf numFmtId="0" fontId="8" fillId="2" borderId="0" xfId="25" applyFont="1" applyFill="1" applyAlignment="1"/>
    <xf numFmtId="0" fontId="6" fillId="2" borderId="3" xfId="25" applyFont="1" applyFill="1" applyBorder="1" applyAlignment="1">
      <alignment horizontal="left" wrapText="1"/>
    </xf>
    <xf numFmtId="0" fontId="4" fillId="2" borderId="8" xfId="20" applyFont="1" applyFill="1" applyBorder="1" applyAlignment="1">
      <alignment horizontal="left" vertical="center" wrapText="1"/>
    </xf>
    <xf numFmtId="0" fontId="4" fillId="2" borderId="9" xfId="20" applyFont="1" applyFill="1" applyBorder="1" applyAlignment="1">
      <alignment horizontal="left" vertical="center" wrapText="1"/>
    </xf>
    <xf numFmtId="3" fontId="4" fillId="2" borderId="12" xfId="25" applyNumberFormat="1" applyFont="1" applyFill="1" applyBorder="1" applyAlignment="1">
      <alignment vertical="center" wrapText="1"/>
    </xf>
    <xf numFmtId="0" fontId="2" fillId="2" borderId="0" xfId="25" applyFont="1" applyFill="1" applyBorder="1" applyAlignment="1">
      <alignment horizontal="left"/>
    </xf>
    <xf numFmtId="0" fontId="16" fillId="2" borderId="0" xfId="25" applyFont="1" applyFill="1" applyAlignment="1">
      <alignment horizontal="left"/>
    </xf>
    <xf numFmtId="164" fontId="2" fillId="2" borderId="0" xfId="25" applyNumberFormat="1" applyFont="1" applyFill="1" applyBorder="1" applyAlignment="1">
      <alignment horizontal="center"/>
    </xf>
    <xf numFmtId="164" fontId="2" fillId="2" borderId="0" xfId="25" applyNumberFormat="1" applyFont="1" applyFill="1" applyAlignment="1">
      <alignment horizontal="center"/>
    </xf>
    <xf numFmtId="3" fontId="4" fillId="2" borderId="2" xfId="25" applyNumberFormat="1" applyFont="1" applyFill="1" applyBorder="1" applyAlignment="1">
      <alignment horizontal="right" vertical="center" wrapText="1"/>
    </xf>
    <xf numFmtId="3" fontId="4" fillId="2" borderId="2" xfId="25" applyNumberFormat="1" applyFont="1" applyFill="1" applyBorder="1" applyAlignment="1">
      <alignment horizontal="right" vertical="center"/>
    </xf>
    <xf numFmtId="3" fontId="4" fillId="2" borderId="1" xfId="25" applyNumberFormat="1" applyFont="1" applyFill="1" applyBorder="1" applyAlignment="1">
      <alignment horizontal="right" vertical="center"/>
    </xf>
    <xf numFmtId="3" fontId="4" fillId="2" borderId="3" xfId="25" applyNumberFormat="1" applyFont="1" applyFill="1" applyBorder="1" applyAlignment="1">
      <alignment horizontal="right" vertical="center" wrapText="1"/>
    </xf>
    <xf numFmtId="3" fontId="4" fillId="2" borderId="9" xfId="20" applyNumberFormat="1" applyFont="1" applyFill="1" applyBorder="1" applyAlignment="1">
      <alignment horizontal="right"/>
    </xf>
    <xf numFmtId="3" fontId="4" fillId="2" borderId="2" xfId="20" applyNumberFormat="1" applyFont="1" applyFill="1" applyBorder="1" applyAlignment="1">
      <alignment horizontal="right"/>
    </xf>
    <xf numFmtId="3" fontId="4" fillId="2" borderId="6" xfId="20" applyNumberFormat="1" applyFont="1" applyFill="1" applyBorder="1" applyAlignment="1">
      <alignment horizontal="right"/>
    </xf>
    <xf numFmtId="3" fontId="4" fillId="2" borderId="4" xfId="20" applyNumberFormat="1" applyFont="1" applyFill="1" applyBorder="1" applyAlignment="1">
      <alignment horizontal="right"/>
    </xf>
    <xf numFmtId="3" fontId="4" fillId="2" borderId="10" xfId="20" applyNumberFormat="1" applyFont="1" applyFill="1" applyBorder="1" applyAlignment="1">
      <alignment horizontal="right"/>
    </xf>
    <xf numFmtId="3" fontId="4" fillId="2" borderId="1" xfId="20" applyNumberFormat="1" applyFont="1" applyFill="1" applyBorder="1" applyAlignment="1">
      <alignment horizontal="right"/>
    </xf>
    <xf numFmtId="3" fontId="4" fillId="2" borderId="12" xfId="25" applyNumberFormat="1" applyFont="1" applyFill="1" applyBorder="1" applyAlignment="1">
      <alignment horizontal="right" vertical="center" wrapText="1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left"/>
    </xf>
    <xf numFmtId="3" fontId="7" fillId="2" borderId="2" xfId="25" applyNumberFormat="1" applyFont="1" applyFill="1" applyBorder="1" applyAlignment="1">
      <alignment horizontal="right"/>
    </xf>
    <xf numFmtId="3" fontId="4" fillId="2" borderId="0" xfId="25" quotePrefix="1" applyNumberFormat="1" applyFont="1" applyFill="1" applyBorder="1" applyAlignment="1">
      <alignment horizontal="right" vertical="center"/>
    </xf>
    <xf numFmtId="3" fontId="7" fillId="2" borderId="1" xfId="25" applyNumberFormat="1" applyFont="1" applyFill="1" applyBorder="1" applyAlignment="1">
      <alignment horizontal="right"/>
    </xf>
    <xf numFmtId="3" fontId="7" fillId="2" borderId="10" xfId="0" applyNumberFormat="1" applyFont="1" applyFill="1" applyBorder="1"/>
    <xf numFmtId="3" fontId="7" fillId="2" borderId="1" xfId="0" applyNumberFormat="1" applyFont="1" applyFill="1" applyBorder="1"/>
    <xf numFmtId="3" fontId="4" fillId="2" borderId="12" xfId="25" applyNumberFormat="1" applyFont="1" applyFill="1" applyBorder="1" applyAlignment="1">
      <alignment horizontal="right" vertical="center"/>
    </xf>
    <xf numFmtId="3" fontId="7" fillId="2" borderId="2" xfId="25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/>
    <xf numFmtId="3" fontId="7" fillId="2" borderId="3" xfId="0" applyNumberFormat="1" applyFont="1" applyFill="1" applyBorder="1"/>
    <xf numFmtId="3" fontId="7" fillId="2" borderId="9" xfId="0" applyNumberFormat="1" applyFont="1" applyFill="1" applyBorder="1"/>
    <xf numFmtId="3" fontId="7" fillId="2" borderId="2" xfId="0" applyNumberFormat="1" applyFont="1" applyFill="1" applyBorder="1"/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2" fillId="2" borderId="0" xfId="0" applyFont="1" applyFill="1"/>
    <xf numFmtId="0" fontId="5" fillId="2" borderId="0" xfId="28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Border="1"/>
    <xf numFmtId="0" fontId="0" fillId="2" borderId="0" xfId="0" quotePrefix="1" applyNumberFormat="1" applyFill="1"/>
    <xf numFmtId="0" fontId="5" fillId="2" borderId="0" xfId="27" applyFont="1" applyFill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0" fontId="6" fillId="2" borderId="1" xfId="0" applyFont="1" applyFill="1" applyBorder="1" applyAlignment="1">
      <alignment horizontal="right" wrapText="1"/>
    </xf>
    <xf numFmtId="0" fontId="6" fillId="2" borderId="4" xfId="25" applyFont="1" applyFill="1" applyBorder="1" applyAlignment="1">
      <alignment horizontal="left" wrapText="1"/>
    </xf>
    <xf numFmtId="0" fontId="6" fillId="2" borderId="6" xfId="25" applyFont="1" applyFill="1" applyBorder="1" applyAlignment="1">
      <alignment horizontal="left" wrapText="1"/>
    </xf>
    <xf numFmtId="0" fontId="6" fillId="2" borderId="14" xfId="0" applyFont="1" applyFill="1" applyBorder="1"/>
    <xf numFmtId="0" fontId="6" fillId="2" borderId="10" xfId="0" applyFont="1" applyFill="1" applyBorder="1" applyAlignment="1">
      <alignment horizontal="right" wrapText="1"/>
    </xf>
    <xf numFmtId="0" fontId="6" fillId="2" borderId="13" xfId="0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6" fillId="2" borderId="5" xfId="0" applyFont="1" applyFill="1" applyBorder="1"/>
    <xf numFmtId="3" fontId="4" fillId="2" borderId="9" xfId="0" applyNumberFormat="1" applyFont="1" applyFill="1" applyBorder="1"/>
    <xf numFmtId="3" fontId="4" fillId="2" borderId="11" xfId="0" applyNumberFormat="1" applyFont="1" applyFill="1" applyBorder="1"/>
    <xf numFmtId="164" fontId="4" fillId="2" borderId="8" xfId="0" applyNumberFormat="1" applyFont="1" applyFill="1" applyBorder="1"/>
    <xf numFmtId="164" fontId="4" fillId="2" borderId="11" xfId="0" applyNumberFormat="1" applyFont="1" applyFill="1" applyBorder="1"/>
    <xf numFmtId="164" fontId="4" fillId="2" borderId="15" xfId="0" applyNumberFormat="1" applyFont="1" applyFill="1" applyBorder="1"/>
    <xf numFmtId="1" fontId="4" fillId="2" borderId="12" xfId="0" applyNumberFormat="1" applyFont="1" applyFill="1" applyBorder="1"/>
    <xf numFmtId="1" fontId="4" fillId="2" borderId="0" xfId="0" applyNumberFormat="1" applyFont="1" applyFill="1" applyBorder="1"/>
    <xf numFmtId="164" fontId="2" fillId="2" borderId="0" xfId="0" applyNumberFormat="1" applyFont="1" applyFill="1"/>
    <xf numFmtId="3" fontId="4" fillId="2" borderId="0" xfId="0" applyNumberFormat="1" applyFont="1" applyFill="1" applyBorder="1"/>
    <xf numFmtId="164" fontId="4" fillId="2" borderId="9" xfId="0" applyNumberFormat="1" applyFont="1" applyFill="1" applyBorder="1"/>
    <xf numFmtId="164" fontId="4" fillId="2" borderId="0" xfId="0" applyNumberFormat="1" applyFont="1" applyFill="1" applyBorder="1"/>
    <xf numFmtId="164" fontId="4" fillId="2" borderId="12" xfId="0" applyNumberFormat="1" applyFont="1" applyFill="1" applyBorder="1"/>
    <xf numFmtId="1" fontId="2" fillId="2" borderId="0" xfId="0" applyNumberFormat="1" applyFont="1" applyFill="1"/>
    <xf numFmtId="3" fontId="4" fillId="2" borderId="10" xfId="0" applyNumberFormat="1" applyFont="1" applyFill="1" applyBorder="1"/>
    <xf numFmtId="3" fontId="4" fillId="2" borderId="14" xfId="0" applyNumberFormat="1" applyFont="1" applyFill="1" applyBorder="1"/>
    <xf numFmtId="3" fontId="4" fillId="2" borderId="13" xfId="0" applyNumberFormat="1" applyFont="1" applyFill="1" applyBorder="1"/>
    <xf numFmtId="164" fontId="4" fillId="2" borderId="10" xfId="0" applyNumberFormat="1" applyFont="1" applyFill="1" applyBorder="1"/>
    <xf numFmtId="164" fontId="4" fillId="2" borderId="13" xfId="0" applyNumberFormat="1" applyFont="1" applyFill="1" applyBorder="1"/>
    <xf numFmtId="164" fontId="4" fillId="2" borderId="14" xfId="0" applyNumberFormat="1" applyFont="1" applyFill="1" applyBorder="1"/>
    <xf numFmtId="1" fontId="4" fillId="2" borderId="5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4" fillId="2" borderId="6" xfId="0" applyNumberFormat="1" applyFont="1" applyFill="1" applyBorder="1"/>
    <xf numFmtId="164" fontId="4" fillId="2" borderId="7" xfId="0" applyNumberFormat="1" applyFont="1" applyFill="1" applyBorder="1"/>
    <xf numFmtId="164" fontId="4" fillId="2" borderId="5" xfId="0" applyNumberFormat="1" applyFont="1" applyFill="1" applyBorder="1"/>
    <xf numFmtId="0" fontId="6" fillId="2" borderId="0" xfId="25" applyFont="1" applyFill="1" applyBorder="1" applyAlignment="1">
      <alignment horizontal="left" wrapText="1"/>
    </xf>
    <xf numFmtId="0" fontId="6" fillId="2" borderId="1" xfId="0" applyFont="1" applyFill="1" applyBorder="1"/>
    <xf numFmtId="0" fontId="6" fillId="2" borderId="10" xfId="0" applyFont="1" applyFill="1" applyBorder="1"/>
    <xf numFmtId="3" fontId="4" fillId="2" borderId="2" xfId="0" applyNumberFormat="1" applyFont="1" applyFill="1" applyBorder="1"/>
    <xf numFmtId="3" fontId="4" fillId="2" borderId="1" xfId="0" applyNumberFormat="1" applyFont="1" applyFill="1" applyBorder="1"/>
    <xf numFmtId="0" fontId="6" fillId="2" borderId="13" xfId="0" applyFont="1" applyFill="1" applyBorder="1"/>
    <xf numFmtId="3" fontId="4" fillId="2" borderId="3" xfId="0" applyNumberFormat="1" applyFont="1" applyFill="1" applyBorder="1"/>
    <xf numFmtId="0" fontId="4" fillId="2" borderId="10" xfId="20" applyFont="1" applyFill="1" applyBorder="1" applyAlignment="1">
      <alignment horizontal="left" vertical="center" wrapText="1"/>
    </xf>
    <xf numFmtId="3" fontId="4" fillId="2" borderId="13" xfId="20" applyNumberFormat="1" applyFont="1" applyFill="1" applyBorder="1" applyAlignment="1"/>
    <xf numFmtId="3" fontId="4" fillId="2" borderId="14" xfId="20" applyNumberFormat="1" applyFont="1" applyFill="1" applyBorder="1" applyAlignment="1"/>
    <xf numFmtId="165" fontId="4" fillId="2" borderId="1" xfId="1" applyNumberFormat="1" applyFont="1" applyFill="1" applyBorder="1" applyAlignment="1">
      <alignment horizontal="right" vertical="center"/>
    </xf>
    <xf numFmtId="3" fontId="4" fillId="2" borderId="15" xfId="25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/>
    <xf numFmtId="0" fontId="1" fillId="2" borderId="0" xfId="0" applyFont="1" applyFill="1"/>
    <xf numFmtId="164" fontId="2" fillId="2" borderId="0" xfId="0" applyNumberFormat="1" applyFont="1" applyFill="1" applyBorder="1"/>
    <xf numFmtId="164" fontId="4" fillId="2" borderId="0" xfId="0" applyNumberFormat="1" applyFont="1" applyFill="1" applyAlignment="1">
      <alignment horizontal="justify"/>
    </xf>
    <xf numFmtId="164" fontId="15" fillId="2" borderId="0" xfId="0" applyNumberFormat="1" applyFont="1" applyFill="1" applyAlignment="1">
      <alignment horizontal="justify"/>
    </xf>
    <xf numFmtId="167" fontId="2" fillId="2" borderId="0" xfId="0" applyNumberFormat="1" applyFont="1" applyFill="1" applyBorder="1"/>
    <xf numFmtId="165" fontId="2" fillId="2" borderId="0" xfId="1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24" fillId="0" borderId="0" xfId="0" applyFont="1"/>
    <xf numFmtId="0" fontId="1" fillId="0" borderId="0" xfId="30"/>
    <xf numFmtId="0" fontId="25" fillId="0" borderId="0" xfId="30" applyFont="1"/>
    <xf numFmtId="0" fontId="18" fillId="4" borderId="1" xfId="30" applyFont="1" applyFill="1" applyBorder="1" applyAlignment="1">
      <alignment horizontal="left" wrapText="1"/>
    </xf>
    <xf numFmtId="0" fontId="18" fillId="4" borderId="13" xfId="30" applyFont="1" applyFill="1" applyBorder="1" applyAlignment="1">
      <alignment horizontal="left" wrapText="1"/>
    </xf>
    <xf numFmtId="0" fontId="18" fillId="4" borderId="1" xfId="30" applyFont="1" applyFill="1" applyBorder="1" applyAlignment="1">
      <alignment horizontal="right" wrapText="1"/>
    </xf>
    <xf numFmtId="0" fontId="18" fillId="5" borderId="3" xfId="30" applyFont="1" applyFill="1" applyBorder="1" applyAlignment="1">
      <alignment horizontal="center" wrapText="1"/>
    </xf>
    <xf numFmtId="0" fontId="26" fillId="4" borderId="1" xfId="30" applyFont="1" applyFill="1" applyBorder="1" applyAlignment="1">
      <alignment wrapText="1"/>
    </xf>
    <xf numFmtId="0" fontId="18" fillId="2" borderId="0" xfId="30" applyFont="1" applyFill="1" applyAlignment="1">
      <alignment wrapText="1"/>
    </xf>
    <xf numFmtId="0" fontId="1" fillId="4" borderId="0" xfId="30" applyFill="1"/>
    <xf numFmtId="0" fontId="1" fillId="4" borderId="2" xfId="30" applyFill="1" applyBorder="1"/>
    <xf numFmtId="0" fontId="1" fillId="4" borderId="1" xfId="30" applyFill="1" applyBorder="1"/>
    <xf numFmtId="0" fontId="1" fillId="5" borderId="1" xfId="30" applyFill="1" applyBorder="1"/>
    <xf numFmtId="0" fontId="25" fillId="4" borderId="1" xfId="30" applyFont="1" applyFill="1" applyBorder="1"/>
    <xf numFmtId="0" fontId="21" fillId="4" borderId="10" xfId="30" applyFont="1" applyFill="1" applyBorder="1" applyAlignment="1">
      <alignment horizontal="left"/>
    </xf>
    <xf numFmtId="0" fontId="21" fillId="4" borderId="13" xfId="30" applyFont="1" applyFill="1" applyBorder="1" applyAlignment="1">
      <alignment horizontal="left"/>
    </xf>
    <xf numFmtId="49" fontId="21" fillId="4" borderId="1" xfId="31" applyNumberFormat="1" applyFont="1" applyFill="1" applyBorder="1" applyAlignment="1">
      <alignment horizontal="center"/>
    </xf>
    <xf numFmtId="49" fontId="21" fillId="4" borderId="14" xfId="31" applyNumberFormat="1" applyFont="1" applyFill="1" applyBorder="1" applyAlignment="1">
      <alignment horizontal="center"/>
    </xf>
    <xf numFmtId="0" fontId="23" fillId="4" borderId="11" xfId="30" applyFont="1" applyFill="1" applyBorder="1" applyAlignment="1">
      <alignment horizontal="right"/>
    </xf>
    <xf numFmtId="0" fontId="17" fillId="4" borderId="3" xfId="30" applyFont="1" applyFill="1" applyBorder="1"/>
    <xf numFmtId="0" fontId="17" fillId="4" borderId="11" xfId="30" applyFont="1" applyFill="1" applyBorder="1"/>
    <xf numFmtId="0" fontId="1" fillId="2" borderId="3" xfId="30" applyFill="1" applyBorder="1"/>
    <xf numFmtId="0" fontId="21" fillId="4" borderId="9" xfId="30" applyFont="1" applyFill="1" applyBorder="1" applyAlignment="1">
      <alignment horizontal="left"/>
    </xf>
    <xf numFmtId="0" fontId="21" fillId="4" borderId="0" xfId="30" applyFont="1" applyFill="1" applyBorder="1" applyAlignment="1">
      <alignment horizontal="left"/>
    </xf>
    <xf numFmtId="165" fontId="21" fillId="2" borderId="2" xfId="31" applyNumberFormat="1" applyFont="1" applyFill="1" applyBorder="1"/>
    <xf numFmtId="165" fontId="21" fillId="2" borderId="12" xfId="31" applyNumberFormat="1" applyFont="1" applyFill="1" applyBorder="1"/>
    <xf numFmtId="0" fontId="21" fillId="4" borderId="0" xfId="30" applyFont="1" applyFill="1" applyBorder="1" applyAlignment="1">
      <alignment horizontal="right"/>
    </xf>
    <xf numFmtId="0" fontId="17" fillId="4" borderId="2" xfId="30" applyFont="1" applyFill="1" applyBorder="1"/>
    <xf numFmtId="0" fontId="17" fillId="4" borderId="0" xfId="30" applyFont="1" applyFill="1" applyBorder="1"/>
    <xf numFmtId="0" fontId="17" fillId="2" borderId="2" xfId="30" applyFont="1" applyFill="1" applyBorder="1" applyAlignment="1">
      <alignment horizontal="right"/>
    </xf>
    <xf numFmtId="165" fontId="17" fillId="3" borderId="2" xfId="31" applyNumberFormat="1" applyFont="1" applyFill="1" applyBorder="1"/>
    <xf numFmtId="165" fontId="17" fillId="5" borderId="2" xfId="31" applyNumberFormat="1" applyFont="1" applyFill="1" applyBorder="1"/>
    <xf numFmtId="0" fontId="21" fillId="4" borderId="7" xfId="30" applyFont="1" applyFill="1" applyBorder="1" applyAlignment="1">
      <alignment horizontal="right"/>
    </xf>
    <xf numFmtId="0" fontId="17" fillId="4" borderId="4" xfId="30" applyFont="1" applyFill="1" applyBorder="1"/>
    <xf numFmtId="0" fontId="17" fillId="4" borderId="7" xfId="30" applyFont="1" applyFill="1" applyBorder="1"/>
    <xf numFmtId="3" fontId="17" fillId="2" borderId="4" xfId="30" applyNumberFormat="1" applyFont="1" applyFill="1" applyBorder="1" applyAlignment="1">
      <alignment horizontal="right"/>
    </xf>
    <xf numFmtId="0" fontId="1" fillId="4" borderId="0" xfId="30" applyFont="1" applyFill="1"/>
    <xf numFmtId="165" fontId="19" fillId="2" borderId="1" xfId="30" applyNumberFormat="1" applyFont="1" applyFill="1" applyBorder="1"/>
    <xf numFmtId="165" fontId="19" fillId="5" borderId="1" xfId="30" applyNumberFormat="1" applyFont="1" applyFill="1" applyBorder="1"/>
    <xf numFmtId="165" fontId="28" fillId="2" borderId="1" xfId="30" applyNumberFormat="1" applyFont="1" applyFill="1" applyBorder="1" applyAlignment="1">
      <alignment horizontal="center"/>
    </xf>
    <xf numFmtId="0" fontId="1" fillId="2" borderId="2" xfId="30" applyFill="1" applyBorder="1"/>
    <xf numFmtId="0" fontId="25" fillId="2" borderId="2" xfId="30" applyFont="1" applyFill="1" applyBorder="1" applyAlignment="1">
      <alignment horizontal="center"/>
    </xf>
    <xf numFmtId="165" fontId="17" fillId="2" borderId="2" xfId="31" applyNumberFormat="1" applyFont="1" applyFill="1" applyBorder="1" applyAlignment="1">
      <alignment horizontal="right" vertical="center"/>
    </xf>
    <xf numFmtId="165" fontId="17" fillId="2" borderId="12" xfId="31" applyNumberFormat="1" applyFont="1" applyFill="1" applyBorder="1" applyAlignment="1">
      <alignment horizontal="right" vertical="center"/>
    </xf>
    <xf numFmtId="3" fontId="17" fillId="2" borderId="2" xfId="30" applyNumberFormat="1" applyFont="1" applyFill="1" applyBorder="1" applyAlignment="1">
      <alignment horizontal="right"/>
    </xf>
    <xf numFmtId="3" fontId="20" fillId="2" borderId="2" xfId="30" applyNumberFormat="1" applyFont="1" applyFill="1" applyBorder="1" applyAlignment="1">
      <alignment horizontal="center"/>
    </xf>
    <xf numFmtId="165" fontId="0" fillId="0" borderId="0" xfId="0" applyNumberFormat="1" applyAlignment="1">
      <alignment horizontal="left"/>
    </xf>
    <xf numFmtId="0" fontId="17" fillId="4" borderId="0" xfId="30" applyFont="1" applyFill="1" applyBorder="1" applyAlignment="1">
      <alignment horizontal="left"/>
    </xf>
    <xf numFmtId="0" fontId="20" fillId="4" borderId="0" xfId="30" applyFont="1" applyFill="1" applyAlignment="1">
      <alignment horizontal="left"/>
    </xf>
    <xf numFmtId="0" fontId="20" fillId="4" borderId="0" xfId="30" applyFont="1" applyFill="1" applyBorder="1" applyAlignment="1">
      <alignment horizontal="left"/>
    </xf>
    <xf numFmtId="0" fontId="25" fillId="2" borderId="1" xfId="30" applyFont="1" applyFill="1" applyBorder="1" applyAlignment="1">
      <alignment horizontal="center"/>
    </xf>
    <xf numFmtId="0" fontId="17" fillId="0" borderId="0" xfId="30" applyFont="1" applyFill="1" applyBorder="1" applyAlignment="1">
      <alignment horizontal="right"/>
    </xf>
    <xf numFmtId="0" fontId="1" fillId="2" borderId="0" xfId="30" applyFill="1"/>
    <xf numFmtId="0" fontId="25" fillId="2" borderId="0" xfId="30" applyFont="1" applyFill="1"/>
    <xf numFmtId="0" fontId="0" fillId="0" borderId="0" xfId="0" applyAlignment="1">
      <alignment horizontal="left"/>
    </xf>
    <xf numFmtId="0" fontId="30" fillId="2" borderId="0" xfId="0" applyFont="1" applyFill="1"/>
    <xf numFmtId="0" fontId="30" fillId="0" borderId="0" xfId="0" applyFont="1"/>
    <xf numFmtId="3" fontId="4" fillId="0" borderId="9" xfId="20" applyNumberFormat="1" applyFont="1" applyFill="1" applyBorder="1" applyAlignment="1"/>
    <xf numFmtId="3" fontId="4" fillId="0" borderId="2" xfId="20" applyNumberFormat="1" applyFont="1" applyFill="1" applyBorder="1" applyAlignment="1"/>
    <xf numFmtId="0" fontId="18" fillId="4" borderId="10" xfId="30" applyFont="1" applyFill="1" applyBorder="1" applyAlignment="1">
      <alignment horizontal="left" wrapText="1"/>
    </xf>
    <xf numFmtId="0" fontId="25" fillId="2" borderId="8" xfId="30" applyFont="1" applyFill="1" applyBorder="1"/>
    <xf numFmtId="0" fontId="0" fillId="0" borderId="9" xfId="0" applyBorder="1"/>
    <xf numFmtId="0" fontId="0" fillId="0" borderId="2" xfId="0" applyBorder="1"/>
    <xf numFmtId="0" fontId="20" fillId="2" borderId="9" xfId="30" applyFont="1" applyFill="1" applyBorder="1" applyAlignment="1">
      <alignment horizontal="right"/>
    </xf>
    <xf numFmtId="0" fontId="0" fillId="2" borderId="9" xfId="0" applyFill="1" applyBorder="1"/>
    <xf numFmtId="0" fontId="0" fillId="2" borderId="0" xfId="0" applyFill="1" applyBorder="1"/>
    <xf numFmtId="165" fontId="20" fillId="2" borderId="9" xfId="31" applyNumberFormat="1" applyFont="1" applyFill="1" applyBorder="1" applyAlignment="1">
      <alignment horizontal="center"/>
    </xf>
    <xf numFmtId="165" fontId="17" fillId="2" borderId="2" xfId="31" applyNumberFormat="1" applyFont="1" applyFill="1" applyBorder="1"/>
    <xf numFmtId="3" fontId="0" fillId="2" borderId="2" xfId="0" applyNumberFormat="1" applyFill="1" applyBorder="1"/>
    <xf numFmtId="165" fontId="17" fillId="2" borderId="4" xfId="31" applyNumberFormat="1" applyFont="1" applyFill="1" applyBorder="1" applyAlignment="1">
      <alignment horizontal="right"/>
    </xf>
    <xf numFmtId="3" fontId="20" fillId="2" borderId="6" xfId="30" applyNumberFormat="1" applyFont="1" applyFill="1" applyBorder="1" applyAlignment="1">
      <alignment horizontal="center"/>
    </xf>
    <xf numFmtId="165" fontId="28" fillId="2" borderId="10" xfId="30" applyNumberFormat="1" applyFont="1" applyFill="1" applyBorder="1" applyAlignment="1">
      <alignment horizontal="center"/>
    </xf>
    <xf numFmtId="0" fontId="25" fillId="2" borderId="9" xfId="30" applyFont="1" applyFill="1" applyBorder="1" applyAlignment="1">
      <alignment horizontal="center"/>
    </xf>
    <xf numFmtId="0" fontId="21" fillId="2" borderId="0" xfId="30" applyFont="1" applyFill="1" applyBorder="1" applyAlignment="1">
      <alignment horizontal="left"/>
    </xf>
    <xf numFmtId="165" fontId="21" fillId="2" borderId="0" xfId="31" applyNumberFormat="1" applyFont="1" applyFill="1" applyBorder="1"/>
    <xf numFmtId="165" fontId="29" fillId="2" borderId="9" xfId="31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/>
    </xf>
    <xf numFmtId="0" fontId="1" fillId="4" borderId="13" xfId="30" applyFont="1" applyFill="1" applyBorder="1"/>
    <xf numFmtId="0" fontId="1" fillId="4" borderId="14" xfId="30" applyFill="1" applyBorder="1"/>
    <xf numFmtId="0" fontId="17" fillId="4" borderId="13" xfId="30" applyFont="1" applyFill="1" applyBorder="1" applyAlignment="1">
      <alignment horizontal="right"/>
    </xf>
    <xf numFmtId="0" fontId="17" fillId="4" borderId="1" xfId="30" applyFont="1" applyFill="1" applyBorder="1"/>
    <xf numFmtId="0" fontId="17" fillId="4" borderId="14" xfId="30" applyFont="1" applyFill="1" applyBorder="1"/>
    <xf numFmtId="0" fontId="21" fillId="4" borderId="7" xfId="30" applyFont="1" applyFill="1" applyBorder="1" applyAlignment="1">
      <alignment horizontal="left"/>
    </xf>
    <xf numFmtId="165" fontId="21" fillId="2" borderId="4" xfId="31" applyNumberFormat="1" applyFont="1" applyFill="1" applyBorder="1"/>
    <xf numFmtId="165" fontId="21" fillId="2" borderId="5" xfId="31" applyNumberFormat="1" applyFont="1" applyFill="1" applyBorder="1"/>
    <xf numFmtId="0" fontId="0" fillId="0" borderId="7" xfId="0" applyBorder="1"/>
    <xf numFmtId="0" fontId="21" fillId="4" borderId="6" xfId="30" applyFont="1" applyFill="1" applyBorder="1" applyAlignment="1">
      <alignment horizontal="left"/>
    </xf>
    <xf numFmtId="0" fontId="4" fillId="2" borderId="12" xfId="25" applyFont="1" applyFill="1" applyBorder="1" applyAlignment="1">
      <alignment horizontal="left"/>
    </xf>
    <xf numFmtId="0" fontId="2" fillId="2" borderId="12" xfId="25" applyFont="1" applyFill="1" applyBorder="1" applyAlignment="1">
      <alignment horizontal="left"/>
    </xf>
    <xf numFmtId="0" fontId="4" fillId="2" borderId="1" xfId="20" applyFont="1" applyFill="1" applyBorder="1" applyAlignment="1">
      <alignment horizontal="left" vertical="center" wrapText="1"/>
    </xf>
    <xf numFmtId="3" fontId="4" fillId="2" borderId="9" xfId="25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horizontal="left"/>
    </xf>
    <xf numFmtId="0" fontId="31" fillId="0" borderId="16" xfId="0" applyFont="1" applyFill="1" applyBorder="1" applyAlignment="1">
      <alignment horizontal="left" vertical="top"/>
    </xf>
    <xf numFmtId="170" fontId="31" fillId="0" borderId="16" xfId="0" applyNumberFormat="1" applyFont="1" applyFill="1" applyBorder="1" applyAlignment="1">
      <alignment horizontal="left" vertical="top"/>
    </xf>
    <xf numFmtId="0" fontId="31" fillId="0" borderId="16" xfId="0" applyFont="1" applyFill="1" applyBorder="1" applyAlignment="1">
      <alignment horizontal="left" vertical="top" wrapText="1"/>
    </xf>
    <xf numFmtId="168" fontId="32" fillId="0" borderId="17" xfId="0" applyNumberFormat="1" applyFont="1" applyFill="1" applyBorder="1" applyAlignment="1">
      <alignment horizontal="right"/>
    </xf>
    <xf numFmtId="169" fontId="31" fillId="0" borderId="16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168" fontId="4" fillId="0" borderId="1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top"/>
    </xf>
    <xf numFmtId="0" fontId="31" fillId="0" borderId="16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3" fontId="4" fillId="2" borderId="0" xfId="25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left" vertical="top" wrapText="1"/>
    </xf>
    <xf numFmtId="0" fontId="31" fillId="0" borderId="16" xfId="0" applyFont="1" applyFill="1" applyBorder="1" applyAlignment="1">
      <alignment horizontal="left" vertical="top"/>
    </xf>
    <xf numFmtId="169" fontId="31" fillId="0" borderId="16" xfId="0" applyNumberFormat="1" applyFont="1" applyFill="1" applyBorder="1" applyAlignment="1">
      <alignment horizontal="left" vertical="top"/>
    </xf>
    <xf numFmtId="170" fontId="31" fillId="0" borderId="16" xfId="0" applyNumberFormat="1" applyFont="1" applyFill="1" applyBorder="1" applyAlignment="1">
      <alignment horizontal="left" vertical="top"/>
    </xf>
    <xf numFmtId="168" fontId="32" fillId="0" borderId="17" xfId="0" applyNumberFormat="1" applyFont="1" applyFill="1" applyBorder="1" applyAlignment="1">
      <alignment horizontal="right"/>
    </xf>
    <xf numFmtId="0" fontId="32" fillId="0" borderId="17" xfId="0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168" fontId="4" fillId="0" borderId="17" xfId="0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22" fillId="2" borderId="0" xfId="30" applyFont="1" applyFill="1" applyAlignment="1">
      <alignment horizontal="left" vertical="top" wrapText="1"/>
    </xf>
    <xf numFmtId="0" fontId="18" fillId="4" borderId="10" xfId="30" applyFont="1" applyFill="1" applyBorder="1" applyAlignment="1">
      <alignment horizontal="left" wrapText="1"/>
    </xf>
    <xf numFmtId="0" fontId="21" fillId="4" borderId="13" xfId="30" applyFont="1" applyFill="1" applyBorder="1"/>
    <xf numFmtId="0" fontId="21" fillId="4" borderId="14" xfId="30" applyFont="1" applyFill="1" applyBorder="1"/>
    <xf numFmtId="0" fontId="27" fillId="6" borderId="10" xfId="0" applyFont="1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18" fillId="5" borderId="10" xfId="30" applyFont="1" applyFill="1" applyBorder="1" applyAlignment="1">
      <alignment horizontal="center" wrapText="1"/>
    </xf>
    <xf numFmtId="0" fontId="18" fillId="5" borderId="14" xfId="30" applyFont="1" applyFill="1" applyBorder="1" applyAlignment="1">
      <alignment horizontal="center" wrapText="1"/>
    </xf>
    <xf numFmtId="0" fontId="6" fillId="2" borderId="3" xfId="25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2" borderId="10" xfId="25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32">
    <cellStyle name="1000-sep (2 dec) 10" xfId="2"/>
    <cellStyle name="1000-sep (2 dec) 12" xfId="3"/>
    <cellStyle name="1000-sep (2 dec) 14" xfId="4"/>
    <cellStyle name="1000-sep (2 dec) 16" xfId="5"/>
    <cellStyle name="1000-sep (2 dec) 2" xfId="6"/>
    <cellStyle name="1000-sep (2 dec) 3" xfId="7"/>
    <cellStyle name="1000-sep (2 dec) 4" xfId="8"/>
    <cellStyle name="1000-sep (2 dec) 5" xfId="9"/>
    <cellStyle name="1000-sep (2 dec) 6" xfId="10"/>
    <cellStyle name="1000-sep (2 dec) 7" xfId="11"/>
    <cellStyle name="1000-sep (2 dec) 8" xfId="12"/>
    <cellStyle name="Komma" xfId="1" builtinId="3"/>
    <cellStyle name="Komma 2" xfId="13"/>
    <cellStyle name="Komma 3" xfId="31"/>
    <cellStyle name="Normal" xfId="0" builtinId="0"/>
    <cellStyle name="Normal 10" xfId="14"/>
    <cellStyle name="Normal 12" xfId="15"/>
    <cellStyle name="Normal 2" xfId="16"/>
    <cellStyle name="Normal 2 3" xfId="17"/>
    <cellStyle name="Normal 22" xfId="18"/>
    <cellStyle name="Normal 26" xfId="19"/>
    <cellStyle name="Normal 3" xfId="20"/>
    <cellStyle name="Normal 4" xfId="21"/>
    <cellStyle name="Normal 5" xfId="30"/>
    <cellStyle name="Normal 7" xfId="22"/>
    <cellStyle name="Normal 8" xfId="23"/>
    <cellStyle name="Normal 9" xfId="24"/>
    <cellStyle name="Normal_2008-29-05_DTD" xfId="25"/>
    <cellStyle name="Normal_2009 2009-priser med korr." xfId="26"/>
    <cellStyle name="Normal_pv05_23-05-07" xfId="27"/>
    <cellStyle name="Normal_pv06_23-05-07" xfId="28"/>
    <cellStyle name="Procent" xfId="2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0"/>
  <sheetViews>
    <sheetView tabSelected="1" workbookViewId="0"/>
  </sheetViews>
  <sheetFormatPr defaultColWidth="9.140625" defaultRowHeight="12.75" x14ac:dyDescent="0.2"/>
  <cols>
    <col min="1" max="1" width="8.5703125" style="65" customWidth="1"/>
    <col min="2" max="2" width="39.28515625" style="51" customWidth="1"/>
    <col min="3" max="9" width="10" style="51" customWidth="1"/>
    <col min="10" max="10" width="19.28515625" style="51" customWidth="1"/>
    <col min="11" max="11" width="9.85546875" style="51" bestFit="1" customWidth="1"/>
    <col min="12" max="12" width="12.85546875" style="51" bestFit="1" customWidth="1"/>
    <col min="13" max="13" width="13.28515625" style="51" customWidth="1"/>
    <col min="14" max="14" width="9.140625" style="51"/>
    <col min="15" max="15" width="10.85546875" style="51" customWidth="1"/>
    <col min="16" max="248" width="9.140625" style="51"/>
    <col min="249" max="249" width="8.85546875" style="51" customWidth="1"/>
    <col min="250" max="250" width="38.85546875" style="51" bestFit="1" customWidth="1"/>
    <col min="251" max="254" width="10" style="51" customWidth="1"/>
    <col min="255" max="16384" width="9.140625" style="52"/>
  </cols>
  <sheetData>
    <row r="1" spans="1:255" ht="15.75" x14ac:dyDescent="0.25">
      <c r="A1" s="50"/>
      <c r="B1" s="24"/>
      <c r="C1" s="26"/>
      <c r="D1" s="26"/>
      <c r="E1" s="26"/>
      <c r="F1" s="26"/>
      <c r="G1" s="26"/>
      <c r="H1" s="26"/>
      <c r="I1" s="26"/>
      <c r="J1" s="26"/>
      <c r="K1" s="24"/>
    </row>
    <row r="2" spans="1:255" x14ac:dyDescent="0.2">
      <c r="A2" s="33" t="s">
        <v>110</v>
      </c>
      <c r="B2" s="24"/>
      <c r="C2" s="26"/>
      <c r="D2" s="26"/>
      <c r="E2" s="27"/>
      <c r="F2" s="27"/>
      <c r="G2" s="27"/>
      <c r="H2" s="28"/>
      <c r="I2" s="53"/>
      <c r="J2" s="28"/>
      <c r="K2" s="24"/>
    </row>
    <row r="3" spans="1:255" x14ac:dyDescent="0.2">
      <c r="A3" s="33" t="s">
        <v>55</v>
      </c>
      <c r="B3" s="24"/>
      <c r="C3" s="26"/>
      <c r="D3" s="26"/>
      <c r="E3" s="27"/>
      <c r="F3" s="27"/>
      <c r="G3" s="27"/>
      <c r="H3" s="28"/>
      <c r="I3" s="27"/>
      <c r="J3" s="28"/>
      <c r="L3" s="45"/>
      <c r="M3" s="45"/>
      <c r="N3" s="45"/>
      <c r="O3" s="28"/>
      <c r="P3" s="28"/>
      <c r="Q3" s="28"/>
      <c r="R3" s="39"/>
      <c r="S3" s="39"/>
      <c r="IU3" s="51"/>
    </row>
    <row r="4" spans="1:255" ht="56.25" x14ac:dyDescent="0.2">
      <c r="A4" s="11" t="s">
        <v>12</v>
      </c>
      <c r="B4" s="11" t="s">
        <v>0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71" t="s">
        <v>21</v>
      </c>
      <c r="K4" s="24"/>
      <c r="L4" s="45"/>
      <c r="M4" s="45"/>
      <c r="N4" s="45"/>
      <c r="O4" s="40"/>
      <c r="P4" s="40"/>
      <c r="Q4" s="54"/>
      <c r="R4" s="40"/>
      <c r="S4" s="40"/>
      <c r="IU4" s="51"/>
    </row>
    <row r="5" spans="1:255" ht="12.75" customHeight="1" x14ac:dyDescent="0.2">
      <c r="A5" s="4">
        <v>1301</v>
      </c>
      <c r="B5" s="4" t="s">
        <v>1</v>
      </c>
      <c r="C5" s="5">
        <v>4351291.2920500003</v>
      </c>
      <c r="D5" s="5">
        <v>111790.02350257571</v>
      </c>
      <c r="E5" s="5">
        <v>374583.83680345857</v>
      </c>
      <c r="F5" s="5">
        <v>0</v>
      </c>
      <c r="G5" s="5">
        <v>45677.118750000001</v>
      </c>
      <c r="H5" s="5">
        <v>-1822488.2932214674</v>
      </c>
      <c r="I5" s="5">
        <v>32311.213456892168</v>
      </c>
      <c r="J5" s="6">
        <f>+SUM(C5:E5)-SUM(F5:I5)</f>
        <v>6582165.1133706104</v>
      </c>
      <c r="K5" s="3"/>
      <c r="L5" s="45"/>
      <c r="M5" s="45"/>
      <c r="N5" s="45"/>
      <c r="O5" s="41"/>
      <c r="P5" s="41"/>
      <c r="Q5" s="41"/>
      <c r="R5" s="41"/>
      <c r="S5" s="55"/>
      <c r="IU5" s="51"/>
    </row>
    <row r="6" spans="1:255" x14ac:dyDescent="0.2">
      <c r="A6" s="7">
        <v>1309</v>
      </c>
      <c r="B6" s="7" t="s">
        <v>235</v>
      </c>
      <c r="C6" s="5">
        <v>2191973.4152700002</v>
      </c>
      <c r="D6" s="5">
        <v>29159.66033679224</v>
      </c>
      <c r="E6" s="5">
        <v>188697.50539642398</v>
      </c>
      <c r="F6" s="5">
        <v>0</v>
      </c>
      <c r="G6" s="5">
        <v>32.024299999999997</v>
      </c>
      <c r="H6" s="5">
        <v>-65411.686272230989</v>
      </c>
      <c r="I6" s="5">
        <v>-22904.777053938091</v>
      </c>
      <c r="J6" s="8">
        <f t="shared" ref="J6:J30" si="0">+SUM(C6:E6)-SUM(F6:I6)</f>
        <v>2498115.0200293856</v>
      </c>
      <c r="K6" s="3"/>
      <c r="L6" s="45"/>
      <c r="M6" s="45"/>
      <c r="N6" s="45"/>
      <c r="O6" s="42"/>
      <c r="P6" s="42"/>
      <c r="Q6" s="41"/>
      <c r="R6" s="41"/>
      <c r="S6" s="55"/>
      <c r="IU6" s="51"/>
    </row>
    <row r="7" spans="1:255" x14ac:dyDescent="0.2">
      <c r="A7" s="7">
        <v>1330</v>
      </c>
      <c r="B7" s="7" t="s">
        <v>236</v>
      </c>
      <c r="C7" s="5">
        <v>2216657.3851000001</v>
      </c>
      <c r="D7" s="5">
        <v>31556.297672699318</v>
      </c>
      <c r="E7" s="5">
        <v>190822.44153741628</v>
      </c>
      <c r="F7" s="5">
        <v>0</v>
      </c>
      <c r="G7" s="5">
        <v>492.340955554</v>
      </c>
      <c r="H7" s="5">
        <v>-212547.55366722587</v>
      </c>
      <c r="I7" s="5">
        <v>12403.696157645467</v>
      </c>
      <c r="J7" s="8">
        <f t="shared" si="0"/>
        <v>2638687.6408641418</v>
      </c>
      <c r="K7" s="3"/>
      <c r="L7" s="45"/>
      <c r="M7" s="45"/>
      <c r="N7" s="45"/>
      <c r="O7" s="42"/>
      <c r="P7" s="42"/>
      <c r="Q7" s="41"/>
      <c r="R7" s="56"/>
      <c r="S7" s="55"/>
      <c r="IU7" s="51"/>
    </row>
    <row r="8" spans="1:255" x14ac:dyDescent="0.2">
      <c r="A8" s="7">
        <v>1501</v>
      </c>
      <c r="B8" s="7" t="s">
        <v>2</v>
      </c>
      <c r="C8" s="5">
        <v>1109327.7844799997</v>
      </c>
      <c r="D8" s="5">
        <v>16647.666576173273</v>
      </c>
      <c r="E8" s="5">
        <v>95497.228269318934</v>
      </c>
      <c r="F8" s="5">
        <v>0</v>
      </c>
      <c r="G8" s="5">
        <v>0</v>
      </c>
      <c r="H8" s="5">
        <v>-64639.846709999998</v>
      </c>
      <c r="I8" s="5">
        <v>-14399.339156773609</v>
      </c>
      <c r="J8" s="8">
        <f t="shared" si="0"/>
        <v>1300511.8651922657</v>
      </c>
      <c r="K8" s="3"/>
      <c r="L8" s="45"/>
      <c r="M8" s="45"/>
      <c r="N8" s="45"/>
      <c r="O8" s="42"/>
      <c r="P8" s="42"/>
      <c r="Q8" s="41"/>
      <c r="R8" s="56"/>
      <c r="S8" s="55"/>
      <c r="IU8" s="51"/>
    </row>
    <row r="9" spans="1:255" x14ac:dyDescent="0.2">
      <c r="A9" s="7">
        <v>1502</v>
      </c>
      <c r="B9" s="7" t="s">
        <v>3</v>
      </c>
      <c r="C9" s="5">
        <v>1506905.3436499997</v>
      </c>
      <c r="D9" s="5">
        <v>30675.921947036015</v>
      </c>
      <c r="E9" s="5">
        <v>129722.95979249854</v>
      </c>
      <c r="F9" s="5">
        <v>0</v>
      </c>
      <c r="G9" s="5">
        <v>0</v>
      </c>
      <c r="H9" s="5">
        <v>-129917.48388499999</v>
      </c>
      <c r="I9" s="5">
        <v>-9984.4777804304322</v>
      </c>
      <c r="J9" s="8">
        <f t="shared" si="0"/>
        <v>1807206.1870549645</v>
      </c>
      <c r="K9" s="3"/>
      <c r="L9" s="45"/>
      <c r="M9" s="45"/>
      <c r="N9" s="45"/>
      <c r="O9" s="42"/>
      <c r="P9" s="42"/>
      <c r="Q9" s="41"/>
      <c r="R9" s="56"/>
      <c r="S9" s="55"/>
      <c r="IU9" s="51"/>
    </row>
    <row r="10" spans="1:255" x14ac:dyDescent="0.2">
      <c r="A10" s="7">
        <v>1516</v>
      </c>
      <c r="B10" s="7" t="s">
        <v>4</v>
      </c>
      <c r="C10" s="5">
        <v>2975757.7825700003</v>
      </c>
      <c r="D10" s="5">
        <v>55011.210112352142</v>
      </c>
      <c r="E10" s="5">
        <v>256170.10969350068</v>
      </c>
      <c r="F10" s="5">
        <v>0</v>
      </c>
      <c r="G10" s="5">
        <v>11075.878949999998</v>
      </c>
      <c r="H10" s="5">
        <v>-100383.26242193866</v>
      </c>
      <c r="I10" s="5">
        <v>25439.696344357231</v>
      </c>
      <c r="J10" s="8">
        <f t="shared" si="0"/>
        <v>3350806.7895034342</v>
      </c>
      <c r="K10" s="3"/>
      <c r="L10" s="45"/>
      <c r="M10" s="45"/>
      <c r="N10" s="45"/>
      <c r="O10" s="42"/>
      <c r="P10" s="42"/>
      <c r="Q10" s="41"/>
      <c r="R10" s="56"/>
      <c r="S10" s="55"/>
      <c r="IU10" s="51"/>
    </row>
    <row r="11" spans="1:255" x14ac:dyDescent="0.2">
      <c r="A11" s="7">
        <v>2000</v>
      </c>
      <c r="B11" s="7" t="s">
        <v>5</v>
      </c>
      <c r="C11" s="5">
        <v>2253107.1773399999</v>
      </c>
      <c r="D11" s="5">
        <v>33091.597535392633</v>
      </c>
      <c r="E11" s="5">
        <v>193960.24641223441</v>
      </c>
      <c r="F11" s="5">
        <v>0</v>
      </c>
      <c r="G11" s="5">
        <v>1899.8</v>
      </c>
      <c r="H11" s="5">
        <v>88368.659926137479</v>
      </c>
      <c r="I11" s="5">
        <v>-9396.6937720308888</v>
      </c>
      <c r="J11" s="8">
        <f t="shared" si="0"/>
        <v>2399287.2551335203</v>
      </c>
      <c r="K11" s="3"/>
      <c r="L11" s="45"/>
      <c r="M11" s="45"/>
      <c r="N11" s="45"/>
      <c r="O11" s="42"/>
      <c r="P11" s="42"/>
      <c r="Q11" s="41"/>
      <c r="R11" s="56"/>
      <c r="S11" s="55"/>
      <c r="IU11" s="51"/>
    </row>
    <row r="12" spans="1:255" x14ac:dyDescent="0.2">
      <c r="A12" s="7">
        <v>4001</v>
      </c>
      <c r="B12" s="7" t="s">
        <v>6</v>
      </c>
      <c r="C12" s="5">
        <v>384869.04587999999</v>
      </c>
      <c r="D12" s="5">
        <v>5395.5862603715341</v>
      </c>
      <c r="E12" s="5">
        <v>33131.710611057882</v>
      </c>
      <c r="F12" s="5">
        <v>0</v>
      </c>
      <c r="G12" s="5">
        <v>0</v>
      </c>
      <c r="H12" s="5">
        <v>31047.214</v>
      </c>
      <c r="I12" s="5">
        <v>603.33432395641307</v>
      </c>
      <c r="J12" s="8">
        <f t="shared" si="0"/>
        <v>391745.79442747298</v>
      </c>
      <c r="K12" s="3"/>
      <c r="L12" s="45"/>
      <c r="M12" s="45"/>
      <c r="N12" s="45"/>
      <c r="O12" s="42"/>
      <c r="P12" s="42"/>
      <c r="Q12" s="41"/>
      <c r="R12" s="41"/>
      <c r="S12" s="55"/>
      <c r="IU12" s="51"/>
    </row>
    <row r="13" spans="1:255" x14ac:dyDescent="0.2">
      <c r="A13" s="7">
        <v>3810</v>
      </c>
      <c r="B13" s="7" t="s">
        <v>114</v>
      </c>
      <c r="C13" s="5">
        <v>2516114.2820000001</v>
      </c>
      <c r="D13" s="5">
        <v>244043.41400000008</v>
      </c>
      <c r="E13" s="5">
        <v>109088.067</v>
      </c>
      <c r="F13" s="5">
        <v>0</v>
      </c>
      <c r="G13" s="5">
        <v>7959.9219999999996</v>
      </c>
      <c r="H13" s="5">
        <v>52515.633999999998</v>
      </c>
      <c r="I13" s="5">
        <v>10341.679000000002</v>
      </c>
      <c r="J13" s="8">
        <f t="shared" si="0"/>
        <v>2798428.5279999999</v>
      </c>
      <c r="K13" s="3"/>
      <c r="L13" s="45"/>
      <c r="M13" s="45"/>
      <c r="N13" s="45"/>
      <c r="O13" s="42"/>
      <c r="P13" s="42"/>
      <c r="Q13" s="41"/>
      <c r="R13" s="41"/>
      <c r="S13" s="55"/>
      <c r="IU13" s="51"/>
    </row>
    <row r="14" spans="1:255" x14ac:dyDescent="0.2">
      <c r="A14" s="7">
        <v>3820</v>
      </c>
      <c r="B14" s="7" t="s">
        <v>108</v>
      </c>
      <c r="C14" s="5">
        <v>979274.54412999994</v>
      </c>
      <c r="D14" s="5">
        <v>109568.97700000001</v>
      </c>
      <c r="E14" s="5">
        <v>45710.667999999998</v>
      </c>
      <c r="F14" s="5">
        <v>5436.36</v>
      </c>
      <c r="G14" s="5">
        <v>9879.5460000000003</v>
      </c>
      <c r="H14" s="5">
        <v>40289.349000000002</v>
      </c>
      <c r="I14" s="5">
        <v>-4669.4880000000003</v>
      </c>
      <c r="J14" s="8">
        <f t="shared" si="0"/>
        <v>1083618.4221300001</v>
      </c>
      <c r="K14" s="3"/>
      <c r="L14" s="45"/>
      <c r="M14" s="45"/>
      <c r="N14" s="45"/>
      <c r="O14" s="42"/>
      <c r="P14" s="42"/>
      <c r="Q14" s="41"/>
      <c r="R14" s="41"/>
      <c r="S14" s="55"/>
      <c r="IU14" s="51"/>
    </row>
    <row r="15" spans="1:255" x14ac:dyDescent="0.2">
      <c r="A15" s="7">
        <v>3830</v>
      </c>
      <c r="B15" s="7" t="s">
        <v>115</v>
      </c>
      <c r="C15" s="5">
        <v>2310467</v>
      </c>
      <c r="D15" s="5">
        <v>267441.94099999999</v>
      </c>
      <c r="E15" s="5">
        <v>107006.91899999999</v>
      </c>
      <c r="F15" s="5">
        <v>1239</v>
      </c>
      <c r="G15" s="5">
        <v>5295</v>
      </c>
      <c r="H15" s="5">
        <v>94395</v>
      </c>
      <c r="I15" s="5">
        <v>18874.781999999999</v>
      </c>
      <c r="J15" s="8">
        <f t="shared" si="0"/>
        <v>2565112.0780000002</v>
      </c>
      <c r="K15" s="3"/>
      <c r="L15" s="45"/>
      <c r="M15" s="45"/>
      <c r="N15" s="45"/>
      <c r="O15" s="42"/>
      <c r="P15" s="42"/>
      <c r="Q15" s="41"/>
      <c r="R15" s="41"/>
      <c r="S15" s="39"/>
      <c r="U15" s="51" t="s">
        <v>54</v>
      </c>
      <c r="IU15" s="51"/>
    </row>
    <row r="16" spans="1:255" x14ac:dyDescent="0.2">
      <c r="A16" s="7">
        <v>3840</v>
      </c>
      <c r="B16" s="7" t="s">
        <v>116</v>
      </c>
      <c r="C16" s="5">
        <v>685202.08915000001</v>
      </c>
      <c r="D16" s="5">
        <v>78582.63999999997</v>
      </c>
      <c r="E16" s="5">
        <v>31928.053</v>
      </c>
      <c r="F16" s="5">
        <v>0</v>
      </c>
      <c r="G16" s="5">
        <v>-96.910000000000082</v>
      </c>
      <c r="H16" s="5">
        <v>15056.296</v>
      </c>
      <c r="I16" s="5">
        <v>-23877.530999999999</v>
      </c>
      <c r="J16" s="8">
        <f t="shared" si="0"/>
        <v>804630.92715</v>
      </c>
      <c r="K16" s="3"/>
      <c r="L16" s="45"/>
      <c r="M16" s="45"/>
      <c r="N16" s="45"/>
      <c r="O16" s="42"/>
      <c r="P16" s="42"/>
      <c r="Q16" s="41"/>
      <c r="R16" s="41"/>
      <c r="S16" s="39"/>
      <c r="IU16" s="51"/>
    </row>
    <row r="17" spans="1:255" x14ac:dyDescent="0.2">
      <c r="A17" s="7">
        <v>4202</v>
      </c>
      <c r="B17" s="7" t="s">
        <v>7</v>
      </c>
      <c r="C17" s="5">
        <v>6194340</v>
      </c>
      <c r="D17" s="5">
        <v>189650</v>
      </c>
      <c r="E17" s="5">
        <v>139077</v>
      </c>
      <c r="F17" s="5">
        <v>8157</v>
      </c>
      <c r="G17" s="5">
        <v>16909</v>
      </c>
      <c r="H17" s="5">
        <v>221627</v>
      </c>
      <c r="I17" s="5">
        <v>-1966</v>
      </c>
      <c r="J17" s="8">
        <f t="shared" si="0"/>
        <v>6278340</v>
      </c>
      <c r="K17" s="3"/>
      <c r="L17" s="45"/>
      <c r="M17" s="45"/>
      <c r="N17" s="45"/>
      <c r="O17" s="43"/>
      <c r="P17" s="43"/>
      <c r="Q17" s="43"/>
      <c r="R17" s="41"/>
      <c r="S17" s="39"/>
      <c r="IU17" s="51"/>
    </row>
    <row r="18" spans="1:255" x14ac:dyDescent="0.2">
      <c r="A18" s="7">
        <v>5000</v>
      </c>
      <c r="B18" s="7" t="s">
        <v>40</v>
      </c>
      <c r="C18" s="5">
        <v>1785363</v>
      </c>
      <c r="D18" s="5">
        <v>52929</v>
      </c>
      <c r="E18" s="5">
        <v>38814</v>
      </c>
      <c r="F18" s="5">
        <v>2282</v>
      </c>
      <c r="G18" s="5">
        <v>6159</v>
      </c>
      <c r="H18" s="5">
        <v>93079</v>
      </c>
      <c r="I18" s="5">
        <v>2207</v>
      </c>
      <c r="J18" s="8">
        <f t="shared" si="0"/>
        <v>1773379</v>
      </c>
      <c r="K18" s="3"/>
      <c r="L18" s="45"/>
      <c r="M18" s="45"/>
      <c r="N18" s="45"/>
      <c r="O18" s="43"/>
      <c r="P18" s="43"/>
      <c r="Q18" s="43"/>
      <c r="R18" s="57"/>
      <c r="S18" s="39"/>
      <c r="IU18" s="51"/>
    </row>
    <row r="19" spans="1:255" x14ac:dyDescent="0.2">
      <c r="A19" s="7">
        <v>5501</v>
      </c>
      <c r="B19" s="7" t="s">
        <v>8</v>
      </c>
      <c r="C19" s="5">
        <v>1737713</v>
      </c>
      <c r="D19" s="5">
        <v>51328</v>
      </c>
      <c r="E19" s="5">
        <v>37641</v>
      </c>
      <c r="F19" s="5">
        <v>2648</v>
      </c>
      <c r="G19" s="5">
        <v>4570</v>
      </c>
      <c r="H19" s="5">
        <v>75419</v>
      </c>
      <c r="I19" s="5">
        <v>203</v>
      </c>
      <c r="J19" s="8">
        <f t="shared" si="0"/>
        <v>1743842</v>
      </c>
      <c r="K19" s="3"/>
      <c r="L19" s="45"/>
      <c r="M19" s="45"/>
      <c r="N19" s="45"/>
      <c r="O19" s="43"/>
      <c r="P19" s="43"/>
      <c r="Q19" s="43"/>
      <c r="R19" s="57"/>
      <c r="S19" s="39"/>
      <c r="IU19" s="51"/>
    </row>
    <row r="20" spans="1:255" x14ac:dyDescent="0.2">
      <c r="A20" s="7">
        <v>6007</v>
      </c>
      <c r="B20" s="7" t="s">
        <v>111</v>
      </c>
      <c r="C20" s="5">
        <v>1377570.9767702534</v>
      </c>
      <c r="D20" s="5">
        <v>41528</v>
      </c>
      <c r="E20" s="5">
        <v>30455</v>
      </c>
      <c r="F20" s="5">
        <v>14706</v>
      </c>
      <c r="G20" s="5">
        <v>1136.8179672734134</v>
      </c>
      <c r="H20" s="5">
        <f>37301.3042904116+2380</f>
        <v>39681.304290411601</v>
      </c>
      <c r="I20" s="5">
        <v>-15929</v>
      </c>
      <c r="J20" s="8">
        <f t="shared" si="0"/>
        <v>1409958.8545125683</v>
      </c>
      <c r="K20" s="3"/>
      <c r="L20" s="45"/>
      <c r="M20" s="45"/>
      <c r="N20" s="45"/>
      <c r="O20" s="43"/>
      <c r="P20" s="43"/>
      <c r="Q20" s="43"/>
      <c r="R20" s="57"/>
      <c r="S20" s="39"/>
      <c r="IU20" s="51"/>
    </row>
    <row r="21" spans="1:255" x14ac:dyDescent="0.2">
      <c r="A21" s="7">
        <v>6008</v>
      </c>
      <c r="B21" s="7" t="s">
        <v>135</v>
      </c>
      <c r="C21" s="5">
        <v>1637597.8491686943</v>
      </c>
      <c r="D21" s="5">
        <v>49324</v>
      </c>
      <c r="E21" s="5">
        <v>36171</v>
      </c>
      <c r="F21" s="5">
        <v>9196</v>
      </c>
      <c r="G21" s="5">
        <v>4873.9706727265866</v>
      </c>
      <c r="H21" s="5">
        <f>55670.2269388692+1400</f>
        <v>57070.2269388692</v>
      </c>
      <c r="I21" s="5">
        <v>15486</v>
      </c>
      <c r="J21" s="8">
        <f t="shared" si="0"/>
        <v>1636466.6515570986</v>
      </c>
      <c r="K21" s="3"/>
      <c r="L21" s="45"/>
      <c r="M21" s="45"/>
      <c r="N21" s="45"/>
      <c r="O21" s="43"/>
      <c r="P21" s="43"/>
      <c r="Q21" s="43"/>
      <c r="R21" s="41"/>
      <c r="S21" s="39"/>
      <c r="IU21" s="51"/>
    </row>
    <row r="22" spans="1:255" x14ac:dyDescent="0.2">
      <c r="A22" s="7">
        <v>6013</v>
      </c>
      <c r="B22" s="7" t="s">
        <v>109</v>
      </c>
      <c r="C22" s="5">
        <v>81829</v>
      </c>
      <c r="D22" s="5">
        <v>2510</v>
      </c>
      <c r="E22" s="5">
        <v>1841</v>
      </c>
      <c r="F22" s="5">
        <v>0</v>
      </c>
      <c r="G22" s="5">
        <v>0</v>
      </c>
      <c r="H22" s="5">
        <v>0</v>
      </c>
      <c r="I22" s="5">
        <v>-1</v>
      </c>
      <c r="J22" s="8">
        <f t="shared" si="0"/>
        <v>86181</v>
      </c>
      <c r="K22" s="3"/>
      <c r="L22" s="45"/>
      <c r="M22" s="45"/>
      <c r="N22" s="45"/>
      <c r="O22" s="43"/>
      <c r="P22" s="43"/>
      <c r="Q22" s="43"/>
      <c r="R22" s="41"/>
      <c r="S22" s="39"/>
      <c r="IU22" s="51"/>
    </row>
    <row r="23" spans="1:255" x14ac:dyDescent="0.2">
      <c r="A23" s="7">
        <v>6006</v>
      </c>
      <c r="B23" s="7" t="s">
        <v>117</v>
      </c>
      <c r="C23" s="5">
        <v>928738</v>
      </c>
      <c r="D23" s="5">
        <v>37612</v>
      </c>
      <c r="E23" s="5">
        <v>20219</v>
      </c>
      <c r="F23" s="5">
        <v>936</v>
      </c>
      <c r="G23" s="5">
        <v>127</v>
      </c>
      <c r="H23" s="5">
        <v>39765</v>
      </c>
      <c r="I23" s="5">
        <v>-21957</v>
      </c>
      <c r="J23" s="8">
        <f t="shared" si="0"/>
        <v>967698</v>
      </c>
      <c r="K23" s="3"/>
      <c r="L23" s="45"/>
      <c r="M23" s="45"/>
      <c r="N23" s="45"/>
      <c r="O23" s="45"/>
      <c r="P23" s="45"/>
      <c r="Q23" s="43"/>
      <c r="R23" s="58"/>
      <c r="S23" s="39"/>
      <c r="IU23" s="51"/>
    </row>
    <row r="24" spans="1:255" x14ac:dyDescent="0.2">
      <c r="A24" s="7">
        <v>6650</v>
      </c>
      <c r="B24" s="7" t="s">
        <v>57</v>
      </c>
      <c r="C24" s="5">
        <v>2086160</v>
      </c>
      <c r="D24" s="5">
        <v>81672</v>
      </c>
      <c r="E24" s="5">
        <v>45464</v>
      </c>
      <c r="F24" s="5">
        <v>0</v>
      </c>
      <c r="G24" s="5">
        <v>18518</v>
      </c>
      <c r="H24" s="5">
        <f>134956-(8411/1.011)</f>
        <v>126636.51434223542</v>
      </c>
      <c r="I24" s="5">
        <v>-11690</v>
      </c>
      <c r="J24" s="8">
        <f t="shared" si="0"/>
        <v>2079831.4856577646</v>
      </c>
      <c r="K24" s="3"/>
      <c r="L24" s="45"/>
      <c r="M24" s="45"/>
      <c r="N24" s="45"/>
      <c r="O24" s="45"/>
      <c r="P24" s="45"/>
      <c r="Q24" s="43"/>
      <c r="R24" s="59"/>
      <c r="S24" s="39"/>
      <c r="IU24" s="51"/>
    </row>
    <row r="25" spans="1:255" x14ac:dyDescent="0.2">
      <c r="A25" s="7">
        <v>6620</v>
      </c>
      <c r="B25" s="7" t="s">
        <v>237</v>
      </c>
      <c r="C25" s="5">
        <v>6093595</v>
      </c>
      <c r="D25" s="5">
        <v>326914</v>
      </c>
      <c r="E25" s="5">
        <v>146880</v>
      </c>
      <c r="F25" s="5">
        <v>0</v>
      </c>
      <c r="G25" s="5">
        <v>12166</v>
      </c>
      <c r="H25" s="5">
        <v>-396856.67500000005</v>
      </c>
      <c r="I25" s="5">
        <v>49961</v>
      </c>
      <c r="J25" s="8">
        <f t="shared" si="0"/>
        <v>6902118.6749999998</v>
      </c>
      <c r="K25" s="3"/>
      <c r="L25" s="45"/>
      <c r="M25" s="45"/>
      <c r="N25" s="45"/>
      <c r="O25" s="45"/>
      <c r="P25" s="45"/>
      <c r="Q25" s="43"/>
      <c r="R25" s="59"/>
      <c r="S25" s="39"/>
      <c r="IU25" s="51"/>
    </row>
    <row r="26" spans="1:255" x14ac:dyDescent="0.2">
      <c r="A26" s="7">
        <v>7005</v>
      </c>
      <c r="B26" s="7" t="s">
        <v>58</v>
      </c>
      <c r="C26" s="5">
        <v>991956</v>
      </c>
      <c r="D26" s="5">
        <v>38800</v>
      </c>
      <c r="E26" s="5">
        <v>21531</v>
      </c>
      <c r="F26" s="5">
        <v>5939</v>
      </c>
      <c r="G26" s="5">
        <v>450</v>
      </c>
      <c r="H26" s="5">
        <v>44238</v>
      </c>
      <c r="I26" s="5">
        <v>-14889</v>
      </c>
      <c r="J26" s="8">
        <f t="shared" si="0"/>
        <v>1016549</v>
      </c>
      <c r="K26" s="3"/>
      <c r="L26" s="45"/>
      <c r="M26" s="45"/>
      <c r="N26" s="45"/>
      <c r="O26" s="45"/>
      <c r="P26" s="45"/>
      <c r="Q26" s="43"/>
      <c r="R26" s="59"/>
      <c r="S26" s="39"/>
      <c r="IU26" s="51"/>
    </row>
    <row r="27" spans="1:255" x14ac:dyDescent="0.2">
      <c r="A27" s="7">
        <v>6630</v>
      </c>
      <c r="B27" s="7" t="s">
        <v>104</v>
      </c>
      <c r="C27" s="5">
        <v>2328009</v>
      </c>
      <c r="D27" s="5">
        <v>97094</v>
      </c>
      <c r="E27" s="5">
        <v>53999</v>
      </c>
      <c r="F27" s="5">
        <v>0</v>
      </c>
      <c r="G27" s="5">
        <v>15611</v>
      </c>
      <c r="H27" s="5">
        <v>-17369</v>
      </c>
      <c r="I27" s="5">
        <v>-6669</v>
      </c>
      <c r="J27" s="8">
        <f t="shared" si="0"/>
        <v>2487529</v>
      </c>
      <c r="K27" s="3"/>
      <c r="L27" s="45"/>
      <c r="M27" s="45"/>
      <c r="N27" s="45"/>
      <c r="O27" s="45"/>
      <c r="P27" s="45"/>
      <c r="Q27" s="43"/>
      <c r="R27" s="59"/>
      <c r="S27" s="39"/>
      <c r="IU27" s="51"/>
    </row>
    <row r="28" spans="1:255" x14ac:dyDescent="0.2">
      <c r="A28" s="7">
        <v>7603</v>
      </c>
      <c r="B28" s="7" t="s">
        <v>9</v>
      </c>
      <c r="C28" s="5">
        <v>424341</v>
      </c>
      <c r="D28" s="5">
        <v>27166</v>
      </c>
      <c r="E28" s="5">
        <v>11796</v>
      </c>
      <c r="F28" s="5">
        <v>719.08699999999999</v>
      </c>
      <c r="G28" s="5">
        <v>16693</v>
      </c>
      <c r="H28" s="5">
        <v>14069</v>
      </c>
      <c r="I28" s="5">
        <v>24265.112999999998</v>
      </c>
      <c r="J28" s="8">
        <f t="shared" si="0"/>
        <v>407556.8</v>
      </c>
      <c r="K28" s="3"/>
      <c r="L28" s="45"/>
      <c r="M28" s="45"/>
      <c r="N28" s="45"/>
      <c r="O28" s="45"/>
      <c r="P28" s="45"/>
      <c r="Q28" s="43"/>
      <c r="R28" s="59"/>
      <c r="S28" s="39"/>
      <c r="IU28" s="51"/>
    </row>
    <row r="29" spans="1:255" x14ac:dyDescent="0.2">
      <c r="A29" s="7">
        <v>8001</v>
      </c>
      <c r="B29" s="7" t="s">
        <v>112</v>
      </c>
      <c r="C29" s="5">
        <v>4190404</v>
      </c>
      <c r="D29" s="5">
        <v>227861</v>
      </c>
      <c r="E29" s="5">
        <v>102161</v>
      </c>
      <c r="F29" s="5">
        <v>2406.2339999999999</v>
      </c>
      <c r="G29" s="5">
        <v>77169</v>
      </c>
      <c r="H29" s="5">
        <v>184464.91</v>
      </c>
      <c r="I29" s="5">
        <v>-95703.125999999989</v>
      </c>
      <c r="J29" s="8">
        <f t="shared" si="0"/>
        <v>4352088.9819999998</v>
      </c>
      <c r="K29" s="3"/>
      <c r="L29" s="45"/>
      <c r="M29" s="45"/>
      <c r="N29" s="45"/>
      <c r="O29" s="45"/>
      <c r="P29" s="45"/>
      <c r="Q29" s="43"/>
      <c r="R29" s="59"/>
      <c r="S29" s="39"/>
      <c r="IU29" s="51"/>
    </row>
    <row r="30" spans="1:255" x14ac:dyDescent="0.2">
      <c r="A30" s="7">
        <v>8003</v>
      </c>
      <c r="B30" s="7" t="s">
        <v>10</v>
      </c>
      <c r="C30" s="5">
        <v>992922</v>
      </c>
      <c r="D30" s="5">
        <v>56184</v>
      </c>
      <c r="E30" s="5">
        <v>29763</v>
      </c>
      <c r="F30" s="5">
        <v>2481.6889999999999</v>
      </c>
      <c r="G30" s="5">
        <v>5631</v>
      </c>
      <c r="H30" s="5">
        <v>44995</v>
      </c>
      <c r="I30" s="5">
        <v>71438.570000000007</v>
      </c>
      <c r="J30" s="8">
        <f t="shared" si="0"/>
        <v>954322.74100000004</v>
      </c>
      <c r="K30" s="3"/>
      <c r="L30" s="45"/>
      <c r="M30" s="45"/>
      <c r="N30" s="45"/>
      <c r="O30" s="45"/>
      <c r="P30" s="45"/>
      <c r="Q30" s="43"/>
      <c r="R30" s="59"/>
      <c r="S30" s="39"/>
      <c r="IU30" s="51"/>
    </row>
    <row r="31" spans="1:255" x14ac:dyDescent="0.2">
      <c r="A31" s="258"/>
      <c r="B31" s="156" t="s">
        <v>20</v>
      </c>
      <c r="C31" s="157">
        <f t="shared" ref="C31:J31" si="1">SUM(C5:C30)</f>
        <v>54331485.967558958</v>
      </c>
      <c r="D31" s="157">
        <f t="shared" si="1"/>
        <v>2293536.935943393</v>
      </c>
      <c r="E31" s="157">
        <f t="shared" si="1"/>
        <v>2472131.745515909</v>
      </c>
      <c r="F31" s="157">
        <f t="shared" si="1"/>
        <v>56146.369999999995</v>
      </c>
      <c r="G31" s="157">
        <f t="shared" si="1"/>
        <v>262228.50959555397</v>
      </c>
      <c r="H31" s="157">
        <f t="shared" si="1"/>
        <v>-1546896.6926802092</v>
      </c>
      <c r="I31" s="157">
        <f t="shared" si="1"/>
        <v>9498.6515196782711</v>
      </c>
      <c r="J31" s="158">
        <f t="shared" si="1"/>
        <v>60316177.810583211</v>
      </c>
      <c r="K31" s="3"/>
      <c r="L31" s="45"/>
      <c r="M31" s="45"/>
      <c r="N31" s="45"/>
      <c r="O31" s="45"/>
      <c r="P31" s="45"/>
      <c r="Q31" s="43"/>
      <c r="R31" s="59"/>
      <c r="S31" s="39"/>
      <c r="IU31" s="51"/>
    </row>
    <row r="32" spans="1:255" x14ac:dyDescent="0.2">
      <c r="A32" s="68"/>
      <c r="B32" s="68"/>
      <c r="C32" s="47"/>
      <c r="D32" s="47"/>
      <c r="E32" s="47"/>
      <c r="F32" s="47"/>
      <c r="G32" s="47"/>
      <c r="H32" s="47"/>
      <c r="I32" s="47"/>
      <c r="J32" s="47"/>
      <c r="K32" s="3"/>
      <c r="L32" s="45"/>
      <c r="M32" s="45"/>
      <c r="N32" s="45"/>
      <c r="O32" s="45"/>
      <c r="P32" s="45"/>
      <c r="Q32" s="43"/>
      <c r="R32" s="59"/>
      <c r="S32" s="39"/>
      <c r="IU32" s="51"/>
    </row>
    <row r="33" spans="1:255" x14ac:dyDescent="0.2">
      <c r="A33" s="256"/>
      <c r="B33" s="17" t="s">
        <v>34</v>
      </c>
      <c r="C33" s="6">
        <f>SUM(C5:C12)</f>
        <v>16989889.226340003</v>
      </c>
      <c r="D33" s="18">
        <f t="shared" ref="D33:I33" si="2">SUM(D5:D12)</f>
        <v>313327.96394339291</v>
      </c>
      <c r="E33" s="18">
        <f t="shared" si="2"/>
        <v>1462586.0385159091</v>
      </c>
      <c r="F33" s="18">
        <f t="shared" si="2"/>
        <v>0</v>
      </c>
      <c r="G33" s="18">
        <f t="shared" si="2"/>
        <v>59177.162955553998</v>
      </c>
      <c r="H33" s="18">
        <f t="shared" si="2"/>
        <v>-2275972.2522517252</v>
      </c>
      <c r="I33" s="18">
        <f t="shared" si="2"/>
        <v>14072.652519678257</v>
      </c>
      <c r="J33" s="6">
        <f>SUM(J5:J12)</f>
        <v>20968525.665575795</v>
      </c>
      <c r="K33" s="24"/>
      <c r="L33" s="47"/>
      <c r="M33" s="41"/>
      <c r="N33" s="42"/>
      <c r="O33" s="42"/>
      <c r="P33" s="42"/>
      <c r="Q33" s="42"/>
      <c r="R33" s="60"/>
      <c r="S33" s="61"/>
      <c r="IU33" s="51"/>
    </row>
    <row r="34" spans="1:255" x14ac:dyDescent="0.2">
      <c r="A34" s="256"/>
      <c r="B34" s="19" t="s">
        <v>35</v>
      </c>
      <c r="C34" s="226">
        <f>SUM(C13:C16)</f>
        <v>6491057.9152800003</v>
      </c>
      <c r="D34" s="226">
        <f t="shared" ref="D34:I34" si="3">SUM(D13:D16)</f>
        <v>699636.97200000007</v>
      </c>
      <c r="E34" s="226">
        <f t="shared" si="3"/>
        <v>293733.70699999999</v>
      </c>
      <c r="F34" s="226">
        <f t="shared" si="3"/>
        <v>6675.36</v>
      </c>
      <c r="G34" s="226">
        <f t="shared" si="3"/>
        <v>23037.558000000001</v>
      </c>
      <c r="H34" s="226">
        <f t="shared" si="3"/>
        <v>202256.27900000001</v>
      </c>
      <c r="I34" s="226">
        <f t="shared" si="3"/>
        <v>669.44200000000274</v>
      </c>
      <c r="J34" s="8">
        <f>SUM(J13:J16)</f>
        <v>7251789.9552800003</v>
      </c>
      <c r="K34" s="1"/>
      <c r="L34" s="47"/>
      <c r="M34" s="41"/>
      <c r="N34" s="45"/>
      <c r="O34" s="45"/>
      <c r="P34" s="45"/>
      <c r="Q34" s="45"/>
      <c r="R34" s="57"/>
      <c r="S34" s="39"/>
      <c r="IU34" s="51"/>
    </row>
    <row r="35" spans="1:255" x14ac:dyDescent="0.2">
      <c r="A35" s="256"/>
      <c r="B35" s="19" t="s">
        <v>36</v>
      </c>
      <c r="C35" s="5">
        <f>SUM(C17:C22)</f>
        <v>12814413.825938947</v>
      </c>
      <c r="D35" s="5">
        <f t="shared" ref="D35:I35" si="4">SUM(D17:D22)</f>
        <v>387269</v>
      </c>
      <c r="E35" s="5">
        <f t="shared" si="4"/>
        <v>283999</v>
      </c>
      <c r="F35" s="5">
        <f t="shared" si="4"/>
        <v>36989</v>
      </c>
      <c r="G35" s="5">
        <f t="shared" si="4"/>
        <v>33648.788639999999</v>
      </c>
      <c r="H35" s="5">
        <f t="shared" si="4"/>
        <v>486876.53122928081</v>
      </c>
      <c r="I35" s="5">
        <f t="shared" si="4"/>
        <v>0</v>
      </c>
      <c r="J35" s="8">
        <f>SUM(J17:J22)</f>
        <v>12928167.506069668</v>
      </c>
      <c r="K35" s="24"/>
      <c r="L35" s="62"/>
      <c r="M35" s="63"/>
      <c r="N35" s="45"/>
      <c r="O35" s="45"/>
      <c r="P35" s="45"/>
      <c r="Q35" s="45"/>
      <c r="R35" s="57"/>
      <c r="S35" s="39"/>
      <c r="IU35" s="51"/>
    </row>
    <row r="36" spans="1:255" x14ac:dyDescent="0.2">
      <c r="A36" s="256"/>
      <c r="B36" s="19" t="s">
        <v>37</v>
      </c>
      <c r="C36" s="5">
        <f>SUM(C23:C27)</f>
        <v>12428458</v>
      </c>
      <c r="D36" s="5">
        <f t="shared" ref="D36:I36" si="5">SUM(D23:D27)</f>
        <v>582092</v>
      </c>
      <c r="E36" s="5">
        <f t="shared" si="5"/>
        <v>288093</v>
      </c>
      <c r="F36" s="5">
        <f t="shared" si="5"/>
        <v>6875</v>
      </c>
      <c r="G36" s="5">
        <f t="shared" si="5"/>
        <v>46872</v>
      </c>
      <c r="H36" s="5">
        <f t="shared" si="5"/>
        <v>-203586.16065776465</v>
      </c>
      <c r="I36" s="5">
        <f t="shared" si="5"/>
        <v>-5244</v>
      </c>
      <c r="J36" s="8">
        <f>SUM(J23:J27)</f>
        <v>13453726.160657763</v>
      </c>
      <c r="K36" s="24"/>
      <c r="L36" s="62"/>
      <c r="M36" s="63"/>
      <c r="N36" s="45"/>
      <c r="O36" s="45"/>
      <c r="P36" s="45"/>
      <c r="Q36" s="45"/>
      <c r="R36" s="57"/>
      <c r="S36" s="39"/>
      <c r="IU36" s="51"/>
    </row>
    <row r="37" spans="1:255" x14ac:dyDescent="0.2">
      <c r="A37" s="257"/>
      <c r="B37" s="20" t="s">
        <v>38</v>
      </c>
      <c r="C37" s="5">
        <f>+SUM(C28:C30)</f>
        <v>5607667</v>
      </c>
      <c r="D37" s="5">
        <f t="shared" ref="D37:I37" si="6">+SUM(D28:D30)</f>
        <v>311211</v>
      </c>
      <c r="E37" s="5">
        <f t="shared" si="6"/>
        <v>143720</v>
      </c>
      <c r="F37" s="5">
        <f t="shared" si="6"/>
        <v>5607.01</v>
      </c>
      <c r="G37" s="5">
        <f t="shared" si="6"/>
        <v>99493</v>
      </c>
      <c r="H37" s="5">
        <f t="shared" si="6"/>
        <v>243528.91</v>
      </c>
      <c r="I37" s="5">
        <f t="shared" si="6"/>
        <v>0.55700000001525041</v>
      </c>
      <c r="J37" s="8">
        <f>+SUM(J28:J30)</f>
        <v>5713968.523</v>
      </c>
      <c r="K37" s="24"/>
      <c r="L37" s="62"/>
      <c r="M37" s="63"/>
      <c r="N37" s="48"/>
      <c r="O37" s="48"/>
      <c r="P37" s="48"/>
      <c r="Q37" s="48"/>
      <c r="R37" s="57"/>
      <c r="S37" s="39"/>
      <c r="IU37" s="51"/>
    </row>
    <row r="38" spans="1:255" x14ac:dyDescent="0.2">
      <c r="A38" s="77"/>
      <c r="B38" s="13" t="s">
        <v>20</v>
      </c>
      <c r="C38" s="22">
        <f>+SUM(C33:C37)</f>
        <v>54331485.96755895</v>
      </c>
      <c r="D38" s="22">
        <f t="shared" ref="D38:J38" si="7">+SUM(D33:D37)</f>
        <v>2293536.935943393</v>
      </c>
      <c r="E38" s="22">
        <f t="shared" si="7"/>
        <v>2472131.745515909</v>
      </c>
      <c r="F38" s="22">
        <f t="shared" si="7"/>
        <v>56146.37</v>
      </c>
      <c r="G38" s="22">
        <f t="shared" si="7"/>
        <v>262228.50959555397</v>
      </c>
      <c r="H38" s="22">
        <f t="shared" si="7"/>
        <v>-1546896.6926802089</v>
      </c>
      <c r="I38" s="22">
        <f t="shared" si="7"/>
        <v>9498.6515196782748</v>
      </c>
      <c r="J38" s="23">
        <f t="shared" si="7"/>
        <v>60316177.810583226</v>
      </c>
      <c r="K38" s="24"/>
      <c r="L38" s="39"/>
      <c r="M38" s="39"/>
      <c r="N38" s="49"/>
      <c r="O38" s="49"/>
      <c r="P38" s="49"/>
      <c r="Q38" s="49"/>
      <c r="R38" s="46"/>
      <c r="S38" s="39"/>
      <c r="IU38" s="51"/>
    </row>
    <row r="39" spans="1:255" x14ac:dyDescent="0.2">
      <c r="A39" s="38"/>
      <c r="B39" s="78"/>
      <c r="C39" s="64"/>
      <c r="D39" s="26"/>
      <c r="E39" s="26"/>
      <c r="F39" s="26"/>
      <c r="G39" s="26"/>
      <c r="H39" s="26"/>
      <c r="I39" s="26"/>
      <c r="J39" s="26"/>
      <c r="K39" s="24"/>
      <c r="IU39" s="51"/>
    </row>
    <row r="40" spans="1:255" x14ac:dyDescent="0.2">
      <c r="B40" s="78"/>
    </row>
    <row r="41" spans="1:255" x14ac:dyDescent="0.2">
      <c r="A41" s="66"/>
      <c r="B41" s="67"/>
      <c r="C41" s="67"/>
      <c r="D41" s="67"/>
      <c r="E41" s="67"/>
    </row>
    <row r="42" spans="1:255" x14ac:dyDescent="0.2">
      <c r="A42" s="68"/>
      <c r="B42" s="68"/>
      <c r="C42" s="3"/>
      <c r="D42" s="3"/>
      <c r="E42" s="69"/>
      <c r="G42" s="70"/>
    </row>
    <row r="43" spans="1:255" x14ac:dyDescent="0.2">
      <c r="A43" s="68"/>
      <c r="B43" s="68"/>
      <c r="C43" s="3"/>
      <c r="D43" s="3"/>
      <c r="E43" s="69"/>
      <c r="G43" s="70"/>
      <c r="J43" s="47"/>
    </row>
    <row r="44" spans="1:255" x14ac:dyDescent="0.2">
      <c r="A44" s="68"/>
      <c r="B44" s="68"/>
      <c r="C44" s="3"/>
      <c r="D44" s="3"/>
      <c r="E44" s="69"/>
      <c r="G44" s="70"/>
      <c r="J44" s="47"/>
    </row>
    <row r="45" spans="1:255" x14ac:dyDescent="0.2">
      <c r="A45" s="68"/>
      <c r="B45" s="68"/>
      <c r="C45" s="3"/>
      <c r="D45" s="3"/>
      <c r="E45" s="69"/>
      <c r="G45" s="70"/>
      <c r="J45" s="47"/>
    </row>
    <row r="46" spans="1:255" x14ac:dyDescent="0.2">
      <c r="A46" s="68"/>
      <c r="B46" s="68"/>
      <c r="C46" s="3"/>
      <c r="D46" s="3"/>
      <c r="E46" s="69"/>
      <c r="G46" s="70"/>
      <c r="J46" s="70"/>
    </row>
    <row r="47" spans="1:255" x14ac:dyDescent="0.2">
      <c r="A47" s="68"/>
      <c r="B47" s="68"/>
      <c r="C47" s="3"/>
      <c r="D47" s="3"/>
      <c r="E47" s="69"/>
      <c r="G47" s="70"/>
    </row>
    <row r="48" spans="1:255" x14ac:dyDescent="0.2">
      <c r="A48" s="68"/>
      <c r="B48" s="68"/>
      <c r="C48" s="3"/>
      <c r="D48" s="3"/>
      <c r="E48" s="69"/>
      <c r="G48" s="70"/>
    </row>
    <row r="49" spans="1:7" x14ac:dyDescent="0.2">
      <c r="A49" s="68"/>
      <c r="B49" s="68"/>
      <c r="C49" s="3"/>
      <c r="D49" s="3"/>
      <c r="E49" s="69"/>
      <c r="G49" s="70"/>
    </row>
    <row r="50" spans="1:7" x14ac:dyDescent="0.2">
      <c r="A50" s="68"/>
      <c r="B50" s="68"/>
      <c r="C50" s="3"/>
      <c r="D50" s="3"/>
      <c r="E50" s="69"/>
      <c r="G50" s="70"/>
    </row>
    <row r="51" spans="1:7" x14ac:dyDescent="0.2">
      <c r="A51" s="68"/>
      <c r="B51" s="68"/>
      <c r="C51" s="3"/>
      <c r="D51" s="3"/>
      <c r="E51" s="69"/>
      <c r="G51" s="70"/>
    </row>
    <row r="52" spans="1:7" x14ac:dyDescent="0.2">
      <c r="A52" s="68"/>
      <c r="B52" s="68"/>
      <c r="C52" s="3"/>
      <c r="D52" s="3"/>
      <c r="E52" s="69"/>
      <c r="G52" s="70"/>
    </row>
    <row r="53" spans="1:7" x14ac:dyDescent="0.2">
      <c r="A53" s="68"/>
      <c r="B53" s="68"/>
      <c r="C53" s="3"/>
      <c r="D53" s="3"/>
      <c r="E53" s="69"/>
      <c r="G53" s="70"/>
    </row>
    <row r="54" spans="1:7" x14ac:dyDescent="0.2">
      <c r="A54" s="68"/>
      <c r="B54" s="68"/>
      <c r="C54" s="3"/>
      <c r="D54" s="3"/>
      <c r="E54" s="69"/>
    </row>
    <row r="55" spans="1:7" x14ac:dyDescent="0.2">
      <c r="A55" s="68"/>
      <c r="B55" s="68"/>
      <c r="C55" s="3"/>
      <c r="D55" s="3"/>
      <c r="E55" s="69"/>
    </row>
    <row r="56" spans="1:7" x14ac:dyDescent="0.2">
      <c r="A56" s="68"/>
      <c r="B56" s="68"/>
      <c r="C56" s="3"/>
      <c r="D56" s="3"/>
      <c r="E56" s="69"/>
    </row>
    <row r="57" spans="1:7" x14ac:dyDescent="0.2">
      <c r="A57" s="68"/>
      <c r="B57" s="68"/>
      <c r="C57" s="3"/>
      <c r="D57" s="3"/>
      <c r="E57" s="69"/>
    </row>
    <row r="58" spans="1:7" x14ac:dyDescent="0.2">
      <c r="A58" s="68"/>
      <c r="B58" s="68"/>
      <c r="C58" s="3"/>
      <c r="D58" s="3"/>
      <c r="E58" s="69"/>
    </row>
    <row r="59" spans="1:7" x14ac:dyDescent="0.2">
      <c r="A59" s="68"/>
      <c r="B59" s="68"/>
      <c r="C59" s="3"/>
      <c r="D59" s="3"/>
      <c r="E59" s="69"/>
    </row>
    <row r="60" spans="1:7" x14ac:dyDescent="0.2">
      <c r="A60" s="68"/>
      <c r="B60" s="68"/>
      <c r="C60" s="3"/>
      <c r="D60" s="3"/>
      <c r="E60" s="69"/>
    </row>
    <row r="61" spans="1:7" x14ac:dyDescent="0.2">
      <c r="A61" s="68"/>
      <c r="B61" s="68"/>
      <c r="C61" s="3"/>
      <c r="D61" s="3"/>
      <c r="E61" s="3"/>
    </row>
    <row r="62" spans="1:7" x14ac:dyDescent="0.2">
      <c r="A62" s="68"/>
      <c r="B62" s="68"/>
      <c r="C62" s="3"/>
      <c r="D62" s="3"/>
      <c r="E62" s="3"/>
    </row>
    <row r="63" spans="1:7" x14ac:dyDescent="0.2">
      <c r="A63" s="68"/>
      <c r="B63" s="68"/>
      <c r="C63" s="3"/>
      <c r="D63" s="3"/>
      <c r="E63" s="3"/>
    </row>
    <row r="64" spans="1:7" x14ac:dyDescent="0.2">
      <c r="A64" s="68"/>
      <c r="B64" s="68"/>
      <c r="C64" s="3"/>
      <c r="D64" s="3"/>
      <c r="E64" s="3"/>
    </row>
    <row r="65" spans="1:5" x14ac:dyDescent="0.2">
      <c r="A65" s="68"/>
      <c r="B65" s="68"/>
      <c r="C65" s="3"/>
      <c r="D65" s="3"/>
      <c r="E65" s="3"/>
    </row>
    <row r="66" spans="1:5" x14ac:dyDescent="0.2">
      <c r="A66" s="68"/>
      <c r="B66" s="68"/>
      <c r="C66" s="3"/>
      <c r="D66" s="3"/>
      <c r="E66" s="3"/>
    </row>
    <row r="67" spans="1:5" x14ac:dyDescent="0.2">
      <c r="A67" s="68"/>
      <c r="B67" s="68"/>
      <c r="C67" s="3"/>
      <c r="D67" s="3"/>
      <c r="E67" s="3"/>
    </row>
    <row r="68" spans="1:5" x14ac:dyDescent="0.2">
      <c r="A68" s="68"/>
      <c r="B68" s="68"/>
      <c r="C68" s="3"/>
      <c r="D68" s="3"/>
      <c r="E68" s="3"/>
    </row>
    <row r="69" spans="1:5" x14ac:dyDescent="0.2">
      <c r="A69" s="68"/>
      <c r="B69" s="68"/>
      <c r="C69" s="3"/>
      <c r="D69" s="3"/>
      <c r="E69" s="3"/>
    </row>
    <row r="70" spans="1:5" x14ac:dyDescent="0.2">
      <c r="A70" s="66"/>
      <c r="B70" s="67"/>
      <c r="C70" s="67"/>
      <c r="D70" s="67"/>
      <c r="E70" s="67"/>
    </row>
  </sheetData>
  <pageMargins left="0.70866141732283472" right="0.70866141732283472" top="0.74803149606299213" bottom="0.74803149606299213" header="0.31496062992125984" footer="0.31496062992125984"/>
  <pageSetup paperSize="9" scale="10" orientation="landscape" cellComments="asDisplayed" horizontalDpi="300" verticalDpi="300" r:id="rId1"/>
  <ignoredErrors>
    <ignoredError sqref="D33:I37 C33:C3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Normal="100" workbookViewId="0"/>
  </sheetViews>
  <sheetFormatPr defaultColWidth="8.85546875" defaultRowHeight="12" x14ac:dyDescent="0.2"/>
  <cols>
    <col min="1" max="1" width="8.5703125" style="107" customWidth="1"/>
    <col min="2" max="2" width="39.28515625" style="107" customWidth="1"/>
    <col min="3" max="8" width="12.85546875" style="107" customWidth="1"/>
    <col min="9" max="16384" width="8.85546875" style="107"/>
  </cols>
  <sheetData>
    <row r="1" spans="1:13" ht="15.75" x14ac:dyDescent="0.25">
      <c r="A1" s="72"/>
    </row>
    <row r="2" spans="1:13" ht="13.5" customHeight="1" x14ac:dyDescent="0.2">
      <c r="A2" s="108" t="s">
        <v>149</v>
      </c>
    </row>
    <row r="3" spans="1:13" ht="13.5" customHeight="1" x14ac:dyDescent="0.2">
      <c r="A3" s="93" t="s">
        <v>53</v>
      </c>
    </row>
    <row r="4" spans="1:13" ht="58.5" customHeight="1" x14ac:dyDescent="0.2">
      <c r="A4" s="73" t="s">
        <v>12</v>
      </c>
      <c r="B4" s="73" t="s">
        <v>0</v>
      </c>
      <c r="C4" s="12" t="s">
        <v>31</v>
      </c>
      <c r="D4" s="12" t="s">
        <v>30</v>
      </c>
      <c r="E4" s="12" t="s">
        <v>41</v>
      </c>
      <c r="F4" s="12" t="s">
        <v>27</v>
      </c>
      <c r="G4" s="12" t="s">
        <v>32</v>
      </c>
      <c r="H4" s="12" t="s">
        <v>39</v>
      </c>
      <c r="K4" s="112"/>
      <c r="L4" s="112"/>
      <c r="M4" s="112"/>
    </row>
    <row r="5" spans="1:13" ht="13.5" customHeight="1" x14ac:dyDescent="0.2">
      <c r="A5" s="74">
        <f>+'(skema1-7_2013 - 13pl)'!A5</f>
        <v>1301</v>
      </c>
      <c r="B5" s="4" t="str">
        <f>+'(skema1-7_2013 - 13pl)'!B5</f>
        <v>Rigshospitalet</v>
      </c>
      <c r="C5" s="91">
        <f>IF(DRG_13!C5=0,"-",DRG_14!C5/DRG_13!C5*100-100)</f>
        <v>2.5425803078366727</v>
      </c>
      <c r="D5" s="81">
        <f>IF(DRG_13!D5=0,"-",DRG_14!D5/DRG_13!D5*100-100)</f>
        <v>12.005908010069248</v>
      </c>
      <c r="E5" s="81">
        <f>IF(DRG_13!E5=0,"-",DRG_14!E5/DRG_13!E5*100-100)</f>
        <v>5.7238813547179035</v>
      </c>
      <c r="F5" s="81">
        <f>IF(DRG_13!F5=0,"-",DRG_14!F5/DRG_13!F5*100-100)</f>
        <v>41.439678818377217</v>
      </c>
      <c r="G5" s="81">
        <f>IF(DRG_14!G5=0,"-",DRG_14!G5/DRG_13!G5*100-100)</f>
        <v>58.973281777635492</v>
      </c>
      <c r="H5" s="29">
        <f>IF(DRG_13!I5=0,"-",DRG_14!I5/DRG_13!I5*100-100)</f>
        <v>2.9837431719021339</v>
      </c>
      <c r="J5" s="109"/>
      <c r="K5" s="112"/>
      <c r="L5" s="112"/>
      <c r="M5" s="112"/>
    </row>
    <row r="6" spans="1:13" ht="13.5" customHeight="1" x14ac:dyDescent="0.2">
      <c r="A6" s="75">
        <f>+'(skema1-7_2013 - 13pl)'!A6</f>
        <v>1309</v>
      </c>
      <c r="B6" s="7" t="str">
        <f>+'(skema1-7_2013 - 13pl)'!B6</f>
        <v>Bispebjerg og Frederiksberg Hospital</v>
      </c>
      <c r="C6" s="91">
        <f>IF(DRG_13!C6=0,"-",DRG_14!C6/DRG_13!C6*100-100)</f>
        <v>0.79231890680664208</v>
      </c>
      <c r="D6" s="81">
        <f>IF(DRG_13!D6=0,"-",DRG_14!D6/DRG_13!D6*100-100)</f>
        <v>12.097091019950199</v>
      </c>
      <c r="E6" s="81">
        <f>IF(DRG_13!E6=0,"-",DRG_14!E6/DRG_13!E6*100-100)</f>
        <v>4.7523578846930121</v>
      </c>
      <c r="F6" s="81">
        <f>IF(DRG_13!F6=0,"-",DRG_14!F6/DRG_13!F6*100-100)</f>
        <v>20.497603286920778</v>
      </c>
      <c r="G6" s="81">
        <f>IF(DRG_14!G6=0,"-",DRG_14!G6/DRG_13!G6*100-100)</f>
        <v>-82.889086972302451</v>
      </c>
      <c r="H6" s="29">
        <f>IF(DRG_13!I6=0,"-",DRG_14!I6/DRG_13!I6*100-100)</f>
        <v>3.6622069012300642</v>
      </c>
      <c r="J6" s="109"/>
      <c r="K6" s="112"/>
      <c r="L6" s="112"/>
      <c r="M6" s="112"/>
    </row>
    <row r="7" spans="1:13" ht="13.5" customHeight="1" x14ac:dyDescent="0.2">
      <c r="A7" s="75">
        <f>+'(skema1-7_2013 - 13pl)'!A7</f>
        <v>1330</v>
      </c>
      <c r="B7" s="7" t="str">
        <f>+'(skema1-7_2013 - 13pl)'!B7</f>
        <v>Amager og Hvidovre Hospital</v>
      </c>
      <c r="C7" s="91">
        <f>IF(DRG_13!C7=0,"-",DRG_14!C7/DRG_13!C7*100-100)</f>
        <v>3.7473931111847776</v>
      </c>
      <c r="D7" s="81">
        <f>IF(DRG_13!D7=0,"-",DRG_14!D7/DRG_13!D7*100-100)</f>
        <v>11.645285451357481</v>
      </c>
      <c r="E7" s="81">
        <f>IF(DRG_13!E7=0,"-",DRG_14!E7/DRG_13!E7*100-100)</f>
        <v>6.042961771770706</v>
      </c>
      <c r="F7" s="81">
        <f>IF(DRG_13!F7=0,"-",DRG_14!F7/DRG_13!F7*100-100)</f>
        <v>1.5353544626259321</v>
      </c>
      <c r="G7" s="81">
        <f>IF(DRG_14!G7=0,"-",DRG_14!G7/DRG_13!G7*100-100)</f>
        <v>10.565243492957308</v>
      </c>
      <c r="H7" s="29">
        <f>IF(DRG_13!I7=0,"-",DRG_14!I7/DRG_13!I7*100-100)</f>
        <v>4.430403416169824</v>
      </c>
      <c r="J7" s="109"/>
      <c r="K7" s="112"/>
      <c r="L7" s="112"/>
      <c r="M7" s="112"/>
    </row>
    <row r="8" spans="1:13" ht="13.5" customHeight="1" x14ac:dyDescent="0.2">
      <c r="A8" s="75">
        <f>+'(skema1-7_2013 - 13pl)'!A8</f>
        <v>1501</v>
      </c>
      <c r="B8" s="7" t="str">
        <f>+'(skema1-7_2013 - 13pl)'!B8</f>
        <v>Gentofte Hospital</v>
      </c>
      <c r="C8" s="91">
        <f>IF(DRG_13!C8=0,"-",DRG_14!C8/DRG_13!C8*100-100)</f>
        <v>-0.4874507228190339</v>
      </c>
      <c r="D8" s="81">
        <f>IF(DRG_13!D8=0,"-",DRG_14!D8/DRG_13!D8*100-100)</f>
        <v>16.659910582985901</v>
      </c>
      <c r="E8" s="81">
        <f>IF(DRG_13!E8=0,"-",DRG_14!E8/DRG_13!E8*100-100)</f>
        <v>7.5516991444454931</v>
      </c>
      <c r="F8" s="81">
        <f>IF(DRG_13!F8=0,"-",DRG_14!F8/DRG_13!F8*100-100)</f>
        <v>16.861321423169102</v>
      </c>
      <c r="G8" s="81">
        <f>IF(DRG_14!G8=0,"-",DRG_14!G8/DRG_13!G8*100-100)</f>
        <v>4.1449766770057721</v>
      </c>
      <c r="H8" s="29">
        <f>IF(DRG_13!I8=0,"-",DRG_14!I8/DRG_13!I8*100-100)</f>
        <v>6.0882052168178546</v>
      </c>
      <c r="J8" s="109"/>
      <c r="K8" s="112"/>
      <c r="L8" s="112"/>
      <c r="M8" s="112"/>
    </row>
    <row r="9" spans="1:13" ht="13.5" customHeight="1" x14ac:dyDescent="0.2">
      <c r="A9" s="75">
        <f>+'(skema1-7_2013 - 13pl)'!A9</f>
        <v>1502</v>
      </c>
      <c r="B9" s="7" t="str">
        <f>+'(skema1-7_2013 - 13pl)'!B9</f>
        <v>Glostrup Hospital</v>
      </c>
      <c r="C9" s="91">
        <f>IF(DRG_13!C9=0,"-",DRG_14!C9/DRG_13!C9*100-100)</f>
        <v>1.7559992202321268</v>
      </c>
      <c r="D9" s="81">
        <f>IF(DRG_13!D9=0,"-",DRG_14!D9/DRG_13!D9*100-100)</f>
        <v>8.362681757376933</v>
      </c>
      <c r="E9" s="81">
        <f>IF(DRG_13!E9=0,"-",DRG_14!E9/DRG_13!E9*100-100)</f>
        <v>4.7946313522741093</v>
      </c>
      <c r="F9" s="81">
        <f>IF(DRG_13!F9=0,"-",DRG_14!F9/DRG_13!F9*100-100)</f>
        <v>5.0505607817533615</v>
      </c>
      <c r="G9" s="81">
        <f>IF(DRG_14!G9=0,"-",DRG_14!G9/DRG_13!G9*100-100)</f>
        <v>107.94787612939439</v>
      </c>
      <c r="H9" s="29">
        <f>IF(DRG_13!I9=0,"-",DRG_14!I9/DRG_13!I9*100-100)</f>
        <v>3.9451050842999678</v>
      </c>
      <c r="J9" s="109"/>
      <c r="K9" s="112"/>
      <c r="L9" s="112"/>
      <c r="M9" s="112"/>
    </row>
    <row r="10" spans="1:13" ht="13.5" customHeight="1" x14ac:dyDescent="0.2">
      <c r="A10" s="75">
        <f>+'(skema1-7_2013 - 13pl)'!A10</f>
        <v>1516</v>
      </c>
      <c r="B10" s="7" t="str">
        <f>+'(skema1-7_2013 - 13pl)'!B10</f>
        <v>Herlev Hospital</v>
      </c>
      <c r="C10" s="91">
        <f>IF(DRG_13!C10=0,"-",DRG_14!C10/DRG_13!C10*100-100)</f>
        <v>6.1694963882682714</v>
      </c>
      <c r="D10" s="81">
        <f>IF(DRG_13!D10=0,"-",DRG_14!D10/DRG_13!D10*100-100)</f>
        <v>17.941018887117394</v>
      </c>
      <c r="E10" s="81">
        <f>IF(DRG_13!E10=0,"-",DRG_14!E10/DRG_13!E10*100-100)</f>
        <v>11.359084845924784</v>
      </c>
      <c r="F10" s="81">
        <f>IF(DRG_13!F10=0,"-",DRG_14!F10/DRG_13!F10*100-100)</f>
        <v>57.686869691045075</v>
      </c>
      <c r="G10" s="81">
        <f>IF(DRG_14!G10=0,"-",DRG_14!G10/DRG_13!G10*100-100)</f>
        <v>6.2054927671885167</v>
      </c>
      <c r="H10" s="29">
        <f>IF(DRG_13!I10=0,"-",DRG_14!I10/DRG_13!I10*100-100)</f>
        <v>5.7521043414567146</v>
      </c>
      <c r="J10" s="109"/>
      <c r="K10" s="112"/>
      <c r="L10" s="112"/>
      <c r="M10" s="112"/>
    </row>
    <row r="11" spans="1:13" ht="13.5" customHeight="1" x14ac:dyDescent="0.2">
      <c r="A11" s="75">
        <f>+'(skema1-7_2013 - 13pl)'!A11</f>
        <v>2000</v>
      </c>
      <c r="B11" s="7" t="str">
        <f>+'(skema1-7_2013 - 13pl)'!B11</f>
        <v>Nordsjællands Hospital</v>
      </c>
      <c r="C11" s="91">
        <f>IF(DRG_13!C11=0,"-",DRG_14!C11/DRG_13!C11*100-100)</f>
        <v>7.1385989043069316</v>
      </c>
      <c r="D11" s="81">
        <f>IF(DRG_13!D11=0,"-",DRG_14!D11/DRG_13!D11*100-100)</f>
        <v>13.6648004559122</v>
      </c>
      <c r="E11" s="81">
        <f>IF(DRG_13!E11=0,"-",DRG_14!E11/DRG_13!E11*100-100)</f>
        <v>9.2677380123719928</v>
      </c>
      <c r="F11" s="81">
        <f>IF(DRG_13!F11=0,"-",DRG_14!F11/DRG_13!F11*100-100)</f>
        <v>12.732850926514445</v>
      </c>
      <c r="G11" s="81">
        <f>IF(DRG_14!G11=0,"-",DRG_14!G11/DRG_13!G11*100-100)</f>
        <v>7.0581654613791613</v>
      </c>
      <c r="H11" s="29">
        <f>IF(DRG_13!I11=0,"-",DRG_14!I11/DRG_13!I11*100-100)</f>
        <v>7.9468314296433249</v>
      </c>
      <c r="J11" s="109"/>
      <c r="K11" s="112"/>
      <c r="L11" s="112"/>
      <c r="M11" s="112"/>
    </row>
    <row r="12" spans="1:13" ht="13.5" customHeight="1" x14ac:dyDescent="0.2">
      <c r="A12" s="75">
        <f>+'(skema1-7_2013 - 13pl)'!A12</f>
        <v>4001</v>
      </c>
      <c r="B12" s="7" t="str">
        <f>+'(skema1-7_2013 - 13pl)'!B12</f>
        <v>Bornholms Hospital</v>
      </c>
      <c r="C12" s="91">
        <f>IF(DRG_13!C12=0,"-",DRG_14!C12/DRG_13!C12*100-100)</f>
        <v>3.2060639272949487</v>
      </c>
      <c r="D12" s="81">
        <f>IF(DRG_13!D12=0,"-",DRG_14!D12/DRG_13!D12*100-100)</f>
        <v>19.809575206229283</v>
      </c>
      <c r="E12" s="81">
        <f>IF(DRG_13!E12=0,"-",DRG_14!E12/DRG_13!E12*100-100)</f>
        <v>9.6173711645574969</v>
      </c>
      <c r="F12" s="81">
        <f>IF(DRG_13!F12=0,"-",DRG_14!F12/DRG_13!F12*100-100)</f>
        <v>113.3611972495618</v>
      </c>
      <c r="G12" s="81">
        <f>IF(DRG_14!G12=0,"-",DRG_14!G12/DRG_13!G12*100-100)</f>
        <v>3.2785346624661003</v>
      </c>
      <c r="H12" s="29">
        <f>IF(DRG_13!I12=0,"-",DRG_14!I12/DRG_13!I12*100-100)</f>
        <v>2.8586549958403111</v>
      </c>
      <c r="J12" s="109"/>
      <c r="K12" s="112"/>
      <c r="L12" s="112"/>
      <c r="M12" s="112"/>
    </row>
    <row r="13" spans="1:13" ht="13.5" customHeight="1" x14ac:dyDescent="0.2">
      <c r="A13" s="75">
        <f>+'(skema1-7_2013 - 13pl)'!A13</f>
        <v>3810</v>
      </c>
      <c r="B13" s="7" t="str">
        <f>+'(skema1-7_2013 - 13pl)'!B13</f>
        <v>Roskilde og Køge sygehuse</v>
      </c>
      <c r="C13" s="91">
        <f>IF(DRG_13!C13=0,"-",DRG_14!C13/DRG_13!C13*100-100)</f>
        <v>5.0831329389374957</v>
      </c>
      <c r="D13" s="81">
        <f>IF(DRG_13!D13=0,"-",DRG_14!D13/DRG_13!D13*100-100)</f>
        <v>17.108421285367271</v>
      </c>
      <c r="E13" s="81">
        <f>IF(DRG_13!E13=0,"-",DRG_14!E13/DRG_13!E13*100-100)</f>
        <v>10.224293497733157</v>
      </c>
      <c r="F13" s="81">
        <f>IF(DRG_13!F13=0,"-",DRG_14!F13/DRG_13!F13*100-100)</f>
        <v>27.461352484070119</v>
      </c>
      <c r="G13" s="81">
        <f>IF(DRG_14!G13=0,"-",DRG_14!G13/DRG_13!G13*100-100)</f>
        <v>73.359092148459752</v>
      </c>
      <c r="H13" s="29">
        <f>IF(DRG_13!I13=0,"-",DRG_14!I13/DRG_13!I13*100-100)</f>
        <v>8.5776242486270462</v>
      </c>
      <c r="J13" s="109"/>
      <c r="K13" s="112"/>
      <c r="L13" s="112"/>
      <c r="M13" s="112"/>
    </row>
    <row r="14" spans="1:13" ht="13.5" customHeight="1" x14ac:dyDescent="0.2">
      <c r="A14" s="75">
        <f>+'(skema1-7_2013 - 13pl)'!A14</f>
        <v>3820</v>
      </c>
      <c r="B14" s="7" t="str">
        <f>+'(skema1-7_2013 - 13pl)'!B14</f>
        <v>Holbæk Sygehus</v>
      </c>
      <c r="C14" s="91">
        <f>IF(DRG_13!C14=0,"-",DRG_14!C14/DRG_13!C14*100-100)</f>
        <v>5.3375580474651656</v>
      </c>
      <c r="D14" s="81">
        <f>IF(DRG_13!D14=0,"-",DRG_14!D14/DRG_13!D14*100-100)</f>
        <v>3.2279668850730729</v>
      </c>
      <c r="E14" s="81">
        <f>IF(DRG_13!E14=0,"-",DRG_14!E14/DRG_13!E14*100-100)</f>
        <v>4.611099857325371</v>
      </c>
      <c r="F14" s="81">
        <f>IF(DRG_13!F14=0,"-",DRG_14!F14/DRG_13!F14*100-100)</f>
        <v>-6.4285866032164165</v>
      </c>
      <c r="G14" s="81">
        <f>IF(DRG_14!G14=0,"-",DRG_14!G14/DRG_13!G14*100-100)</f>
        <v>-0.11907403380303094</v>
      </c>
      <c r="H14" s="29">
        <f>IF(DRG_13!I14=0,"-",DRG_14!I14/DRG_13!I14*100-100)</f>
        <v>4.9576967582495115</v>
      </c>
      <c r="J14" s="109"/>
      <c r="K14" s="112"/>
      <c r="L14" s="112"/>
      <c r="M14" s="112"/>
    </row>
    <row r="15" spans="1:13" ht="13.5" customHeight="1" x14ac:dyDescent="0.2">
      <c r="A15" s="75">
        <f>+'(skema1-7_2013 - 13pl)'!A15</f>
        <v>3830</v>
      </c>
      <c r="B15" s="7" t="str">
        <f>+'(skema1-7_2013 - 13pl)'!B15</f>
        <v>Næstved, Slagelse og Ringsted sygehuse</v>
      </c>
      <c r="C15" s="91">
        <f>IF(DRG_13!C15=0,"-",DRG_14!C15/DRG_13!C15*100-100)</f>
        <v>3.6098155529234788</v>
      </c>
      <c r="D15" s="81">
        <f>IF(DRG_13!D15=0,"-",DRG_14!D15/DRG_13!D15*100-100)</f>
        <v>0.29030737761337377</v>
      </c>
      <c r="E15" s="81">
        <f>IF(DRG_13!E15=0,"-",DRG_14!E15/DRG_13!E15*100-100)</f>
        <v>2.1778527967828865</v>
      </c>
      <c r="F15" s="81">
        <f>IF(DRG_13!F15=0,"-",DRG_14!F15/DRG_13!F15*100-100)</f>
        <v>10.570325703929413</v>
      </c>
      <c r="G15" s="81">
        <f>IF(DRG_14!G15=0,"-",DRG_14!G15/DRG_13!G15*100-100)</f>
        <v>-6.0806862029471915</v>
      </c>
      <c r="H15" s="29">
        <f>IF(DRG_13!I15=0,"-",DRG_14!I15/DRG_13!I15*100-100)</f>
        <v>0.99888545350866309</v>
      </c>
      <c r="J15" s="109"/>
      <c r="K15" s="112"/>
      <c r="L15" s="112"/>
      <c r="M15" s="112"/>
    </row>
    <row r="16" spans="1:13" ht="13.5" customHeight="1" x14ac:dyDescent="0.2">
      <c r="A16" s="75">
        <f>+'(skema1-7_2013 - 13pl)'!A16</f>
        <v>3840</v>
      </c>
      <c r="B16" s="7" t="str">
        <f>+'(skema1-7_2013 - 13pl)'!B16</f>
        <v>Nykøbing Sygehus</v>
      </c>
      <c r="C16" s="91">
        <f>IF(DRG_13!C16=0,"-",DRG_14!C16/DRG_13!C16*100-100)</f>
        <v>-2.851257741849011</v>
      </c>
      <c r="D16" s="81">
        <f>IF(DRG_13!D16=0,"-",DRG_14!D16/DRG_13!D16*100-100)</f>
        <v>7.375596004977254</v>
      </c>
      <c r="E16" s="81">
        <f>IF(DRG_13!E16=0,"-",DRG_14!E16/DRG_13!E16*100-100)</f>
        <v>-0.58482957214586406</v>
      </c>
      <c r="F16" s="81">
        <f>IF(DRG_13!F16=0,"-",DRG_14!F16/DRG_13!F16*100-100)</f>
        <v>37.974377568286201</v>
      </c>
      <c r="G16" s="81">
        <f>IF(DRG_14!G16=0,"-",DRG_14!G16/DRG_13!G16*100-100)</f>
        <v>38.903717364497169</v>
      </c>
      <c r="H16" s="29">
        <f>IF(DRG_13!I16=0,"-",DRG_14!I16/DRG_13!I16*100-100)</f>
        <v>1.4718849159738738</v>
      </c>
      <c r="J16" s="109"/>
      <c r="K16" s="112"/>
      <c r="L16" s="112"/>
      <c r="M16" s="112"/>
    </row>
    <row r="17" spans="1:13" ht="13.5" customHeight="1" x14ac:dyDescent="0.2">
      <c r="A17" s="75">
        <f>+'(skema1-7_2013 - 13pl)'!A17</f>
        <v>4202</v>
      </c>
      <c r="B17" s="7" t="str">
        <f>+'(skema1-7_2013 - 13pl)'!B17</f>
        <v>Odense Universitetshospital</v>
      </c>
      <c r="C17" s="91">
        <f>IF(DRG_13!C17=0,"-",DRG_14!C17/DRG_13!C17*100-100)</f>
        <v>-0.77685129739334968</v>
      </c>
      <c r="D17" s="81">
        <f>IF(DRG_13!D17=0,"-",DRG_14!D17/DRG_13!D17*100-100)</f>
        <v>7.317389510090976</v>
      </c>
      <c r="E17" s="81">
        <f>IF(DRG_13!E17=0,"-",DRG_14!E17/DRG_13!E17*100-100)</f>
        <v>2.8332200506915939</v>
      </c>
      <c r="F17" s="81">
        <f>IF(DRG_13!F17=0,"-",DRG_14!F17/DRG_13!F17*100-100)</f>
        <v>14.985890021661803</v>
      </c>
      <c r="G17" s="81">
        <f>IF(DRG_14!G17=0,"-",DRG_14!G17/DRG_13!G17*100-100)</f>
        <v>-1.3478390654594818</v>
      </c>
      <c r="H17" s="29">
        <f>IF(DRG_13!I17=0,"-",DRG_14!I17/DRG_13!I17*100-100)</f>
        <v>1.6628213926295388</v>
      </c>
      <c r="J17" s="109"/>
      <c r="K17" s="112"/>
      <c r="L17" s="112"/>
      <c r="M17" s="112"/>
    </row>
    <row r="18" spans="1:13" ht="13.5" customHeight="1" x14ac:dyDescent="0.2">
      <c r="A18" s="75">
        <f>+'(skema1-7_2013 - 13pl)'!A18</f>
        <v>5000</v>
      </c>
      <c r="B18" s="7" t="str">
        <f>+'(skema1-7_2013 - 13pl)'!B18</f>
        <v>Sygehus Sønderjylland</v>
      </c>
      <c r="C18" s="91">
        <f>IF(DRG_13!C18=0,"-",DRG_14!C18/DRG_13!C18*100-100)</f>
        <v>-1.1226302144421823</v>
      </c>
      <c r="D18" s="81">
        <f>IF(DRG_13!D18=0,"-",DRG_14!D18/DRG_13!D18*100-100)</f>
        <v>2.9026088096782985</v>
      </c>
      <c r="E18" s="81">
        <f>IF(DRG_13!E18=0,"-",DRG_14!E18/DRG_13!E18*100-100)</f>
        <v>0.78219325447921051</v>
      </c>
      <c r="F18" s="81">
        <f>IF(DRG_13!F18=0,"-",DRG_14!F18/DRG_13!F18*100-100)</f>
        <v>7.2445417835877066</v>
      </c>
      <c r="G18" s="81">
        <f>IF(DRG_14!G18=0,"-",DRG_14!G18/DRG_13!G18*100-100)</f>
        <v>-88.414615627901071</v>
      </c>
      <c r="H18" s="29">
        <f>IF(DRG_13!I18=0,"-",DRG_14!I18/DRG_13!I18*100-100)</f>
        <v>1.5734929801366064</v>
      </c>
      <c r="J18" s="109"/>
      <c r="K18" s="112"/>
      <c r="L18" s="112"/>
      <c r="M18" s="112"/>
    </row>
    <row r="19" spans="1:13" ht="13.5" customHeight="1" x14ac:dyDescent="0.2">
      <c r="A19" s="75">
        <f>+'(skema1-7_2013 - 13pl)'!A19</f>
        <v>5501</v>
      </c>
      <c r="B19" s="7" t="str">
        <f>+'(skema1-7_2013 - 13pl)'!B19</f>
        <v>Sydvestjysk Sygehus</v>
      </c>
      <c r="C19" s="91">
        <f>IF(DRG_13!C19=0,"-",DRG_14!C19/DRG_13!C19*100-100)</f>
        <v>1.3358687901117179</v>
      </c>
      <c r="D19" s="81">
        <f>IF(DRG_13!D19=0,"-",DRG_14!D19/DRG_13!D19*100-100)</f>
        <v>7.1229604608378168</v>
      </c>
      <c r="E19" s="81">
        <f>IF(DRG_13!E19=0,"-",DRG_14!E19/DRG_13!E19*100-100)</f>
        <v>3.9154352455313983</v>
      </c>
      <c r="F19" s="81">
        <f>IF(DRG_13!F19=0,"-",DRG_14!F19/DRG_13!F19*100-100)</f>
        <v>8.701743226255914</v>
      </c>
      <c r="G19" s="81">
        <f>IF(DRG_14!G19=0,"-",DRG_14!G19/DRG_13!G19*100-100)</f>
        <v>1.2301243119622569</v>
      </c>
      <c r="H19" s="29">
        <f>IF(DRG_13!I19=0,"-",DRG_14!I19/DRG_13!I19*100-100)</f>
        <v>3.5535294486301723</v>
      </c>
      <c r="J19" s="109"/>
      <c r="K19" s="112"/>
      <c r="L19" s="112"/>
      <c r="M19" s="112"/>
    </row>
    <row r="20" spans="1:13" ht="13.5" customHeight="1" x14ac:dyDescent="0.2">
      <c r="A20" s="75">
        <f>+'(skema1-7_2013 - 13pl)'!A20</f>
        <v>6007</v>
      </c>
      <c r="B20" s="7" t="str">
        <f>+'(skema1-7_2013 - 13pl)'!B20</f>
        <v>Fredericia og Kolding sygehuse</v>
      </c>
      <c r="C20" s="91">
        <f>IF(DRG_13!C20=0,"-",DRG_14!C20/DRG_13!C20*100-100)</f>
        <v>-2.7041632487851786</v>
      </c>
      <c r="D20" s="81">
        <f>IF(DRG_13!D20=0,"-",DRG_14!D20/DRG_13!D20*100-100)</f>
        <v>4.4434692453882576</v>
      </c>
      <c r="E20" s="81">
        <f>IF(DRG_13!E20=0,"-",DRG_14!E20/DRG_13!E20*100-100)</f>
        <v>1.9654860647037253E-2</v>
      </c>
      <c r="F20" s="81">
        <f>IF(DRG_13!F20=0,"-",DRG_14!F20/DRG_13!F20*100-100)</f>
        <v>29.631112205936688</v>
      </c>
      <c r="G20" s="81">
        <f>IF(DRG_14!G20=0,"-",DRG_14!G20/DRG_13!G20*100-100)</f>
        <v>19.129687105469699</v>
      </c>
      <c r="H20" s="29">
        <f>IF(DRG_13!I20=0,"-",DRG_14!I20/DRG_13!I20*100-100)</f>
        <v>-0.76063456909176352</v>
      </c>
      <c r="J20" s="109"/>
      <c r="K20" s="112"/>
      <c r="L20" s="112"/>
      <c r="M20" s="112"/>
    </row>
    <row r="21" spans="1:13" ht="13.5" customHeight="1" x14ac:dyDescent="0.2">
      <c r="A21" s="75">
        <f>+'(skema1-7_2013 - 13pl)'!A21</f>
        <v>6008</v>
      </c>
      <c r="B21" s="7" t="str">
        <f>+'(skema1-7_2013 - 13pl)'!B21</f>
        <v>Vejle-Give-Middelfart sygehuse</v>
      </c>
      <c r="C21" s="91">
        <f>IF(DRG_13!C21=0,"-",DRG_14!C21/DRG_13!C21*100-100)</f>
        <v>5.7141630116452689</v>
      </c>
      <c r="D21" s="81">
        <f>IF(DRG_13!D21=0,"-",DRG_14!D21/DRG_13!D21*100-100)</f>
        <v>5.4493002067435725</v>
      </c>
      <c r="E21" s="81">
        <f>IF(DRG_13!E21=0,"-",DRG_14!E21/DRG_13!E21*100-100)</f>
        <v>5.5457695399204709</v>
      </c>
      <c r="F21" s="81">
        <f>IF(DRG_13!F21=0,"-",DRG_14!F21/DRG_13!F21*100-100)</f>
        <v>14.205882352941174</v>
      </c>
      <c r="G21" s="81">
        <f>IF(DRG_14!G21=0,"-",DRG_14!G21/DRG_13!G21*100-100)</f>
        <v>-12.33282528550491</v>
      </c>
      <c r="H21" s="29">
        <f>IF(DRG_13!I21=0,"-",DRG_14!I21/DRG_13!I21*100-100)</f>
        <v>3.9114950626125022</v>
      </c>
      <c r="J21" s="109"/>
      <c r="K21" s="112"/>
      <c r="L21" s="112"/>
      <c r="M21" s="112"/>
    </row>
    <row r="22" spans="1:13" ht="13.5" customHeight="1" x14ac:dyDescent="0.2">
      <c r="A22" s="75">
        <f>+'(skema1-7_2013 - 13pl)'!A22</f>
        <v>6013</v>
      </c>
      <c r="B22" s="7" t="str">
        <f>+'(skema1-7_2013 - 13pl)'!B22</f>
        <v>De Vestdanske Friklinikker, Give</v>
      </c>
      <c r="C22" s="91">
        <f>IF(DRG_13!C22=0,"-",DRG_14!C22/DRG_13!C22*100-100)</f>
        <v>-5.2108211385644125</v>
      </c>
      <c r="D22" s="81">
        <f>IF(DRG_13!D22=0,"-",DRG_14!D22/DRG_13!D22*100-100)</f>
        <v>7.1795016349081067</v>
      </c>
      <c r="E22" s="81">
        <f>IF(DRG_13!E22=0,"-",DRG_14!E22/DRG_13!E22*100-100)</f>
        <v>4.9753972361478986</v>
      </c>
      <c r="F22" s="81">
        <f>IF(DRG_13!F22=0,"-",DRG_14!F22/DRG_13!F22*100-100)</f>
        <v>-100</v>
      </c>
      <c r="G22" s="81">
        <f>IF(DRG_14!G22=0,"-",DRG_14!G22/DRG_13!G22*100-100)</f>
        <v>-5.7844193143066605</v>
      </c>
      <c r="H22" s="29">
        <f>IF(DRG_13!I22=0,"-",DRG_14!I22/DRG_13!I22*100-100)</f>
        <v>4.9831923842267827</v>
      </c>
      <c r="J22" s="109"/>
      <c r="K22" s="112"/>
      <c r="L22" s="112"/>
      <c r="M22" s="112"/>
    </row>
    <row r="23" spans="1:13" ht="13.5" customHeight="1" x14ac:dyDescent="0.2">
      <c r="A23" s="75">
        <f>+'(skema1-7_2013 - 13pl)'!A23</f>
        <v>6006</v>
      </c>
      <c r="B23" s="7" t="str">
        <f>+'(skema1-7_2013 - 13pl)'!B23</f>
        <v>Hospitalenheden Horsens</v>
      </c>
      <c r="C23" s="91">
        <f>IF(DRG_13!C23=0,"-",DRG_14!C23/DRG_13!C23*100-100)</f>
        <v>7.8640747163153009</v>
      </c>
      <c r="D23" s="81">
        <f>IF(DRG_13!D23=0,"-",DRG_14!D23/DRG_13!D23*100-100)</f>
        <v>4.5013929127301253</v>
      </c>
      <c r="E23" s="81">
        <f>IF(DRG_13!E23=0,"-",DRG_14!E23/DRG_13!E23*100-100)</f>
        <v>6.5322898475100857</v>
      </c>
      <c r="F23" s="81">
        <f>IF(DRG_13!F23=0,"-",DRG_14!F23/DRG_13!F23*100-100)</f>
        <v>36.000414572213288</v>
      </c>
      <c r="G23" s="81">
        <f>IF(DRG_14!G23=0,"-",DRG_14!G23/DRG_13!G23*100-100)</f>
        <v>7.7746515716106614</v>
      </c>
      <c r="H23" s="29">
        <f>IF(DRG_13!I23=0,"-",DRG_14!I23/DRG_13!I23*100-100)</f>
        <v>5.9973754086616538</v>
      </c>
      <c r="J23" s="109"/>
      <c r="K23" s="112"/>
      <c r="L23" s="112"/>
      <c r="M23" s="112"/>
    </row>
    <row r="24" spans="1:13" ht="13.5" customHeight="1" x14ac:dyDescent="0.2">
      <c r="A24" s="75">
        <f>+'(skema1-7_2013 - 13pl)'!A24</f>
        <v>6650</v>
      </c>
      <c r="B24" s="7" t="str">
        <f>+'(skema1-7_2013 - 13pl)'!B24</f>
        <v>Hospitalsenheden Vest</v>
      </c>
      <c r="C24" s="91">
        <f>IF(DRG_13!C24=0,"-",DRG_14!C24/DRG_13!C24*100-100)</f>
        <v>-0.66866368236230755</v>
      </c>
      <c r="D24" s="81">
        <f>IF(DRG_13!D24=0,"-",DRG_14!D24/DRG_13!D24*100-100)</f>
        <v>9.6556965844281137</v>
      </c>
      <c r="E24" s="81">
        <f>IF(DRG_13!E24=0,"-",DRG_14!E24/DRG_13!E24*100-100)</f>
        <v>3.834187844586225</v>
      </c>
      <c r="F24" s="81">
        <f>IF(DRG_13!F24=0,"-",DRG_14!F24/DRG_13!F24*100-100)</f>
        <v>17.834375621696893</v>
      </c>
      <c r="G24" s="81">
        <f>IF(DRG_14!G24=0,"-",DRG_14!G24/DRG_13!G24*100-100)</f>
        <v>-0.57958573622359211</v>
      </c>
      <c r="H24" s="29">
        <f>IF(DRG_13!I24=0,"-",DRG_14!I24/DRG_13!I24*100-100)</f>
        <v>2.5989733567402169</v>
      </c>
      <c r="J24" s="109"/>
      <c r="K24" s="112"/>
      <c r="L24" s="112"/>
      <c r="M24" s="112"/>
    </row>
    <row r="25" spans="1:13" ht="13.5" customHeight="1" x14ac:dyDescent="0.2">
      <c r="A25" s="75">
        <f>+'(skema1-7_2013 - 13pl)'!A25</f>
        <v>6620</v>
      </c>
      <c r="B25" s="7" t="str">
        <f>+'(skema1-7_2013 - 13pl)'!B25</f>
        <v>Aarhus Universitetshospital</v>
      </c>
      <c r="C25" s="91">
        <f>IF(DRG_13!C25=0,"-",DRG_14!C25/DRG_13!C25*100-100)</f>
        <v>-1.2148570304913164</v>
      </c>
      <c r="D25" s="81">
        <f>IF(DRG_13!D25=0,"-",DRG_14!D25/DRG_13!D25*100-100)</f>
        <v>9.6067990348392129</v>
      </c>
      <c r="E25" s="81">
        <f>IF(DRG_13!E25=0,"-",DRG_14!E25/DRG_13!E25*100-100)</f>
        <v>3.0938584797328446</v>
      </c>
      <c r="F25" s="81">
        <f>IF(DRG_13!F25=0,"-",DRG_14!F25/DRG_13!F25*100-100)</f>
        <v>19.037098784833731</v>
      </c>
      <c r="G25" s="81">
        <f>IF(DRG_14!G25=0,"-",DRG_14!G25/DRG_13!G25*100-100)</f>
        <v>-1.2877654804801324</v>
      </c>
      <c r="H25" s="29">
        <f>IF(DRG_13!I25=0,"-",DRG_14!I25/DRG_13!I25*100-100)</f>
        <v>2.9828353541071095</v>
      </c>
      <c r="J25" s="109"/>
      <c r="K25" s="112"/>
      <c r="L25" s="112"/>
      <c r="M25" s="112"/>
    </row>
    <row r="26" spans="1:13" ht="13.5" customHeight="1" x14ac:dyDescent="0.2">
      <c r="A26" s="75">
        <f>+'(skema1-7_2013 - 13pl)'!A26</f>
        <v>7005</v>
      </c>
      <c r="B26" s="7" t="str">
        <f>+'(skema1-7_2013 - 13pl)'!B26</f>
        <v>Regionshospitalet Randers</v>
      </c>
      <c r="C26" s="91">
        <f>IF(DRG_13!C26=0,"-",DRG_14!C26/DRG_13!C26*100-100)</f>
        <v>3.7345084933692192</v>
      </c>
      <c r="D26" s="81">
        <f>IF(DRG_13!D26=0,"-",DRG_14!D26/DRG_13!D26*100-100)</f>
        <v>5.7436546561620219</v>
      </c>
      <c r="E26" s="81">
        <f>IF(DRG_13!E26=0,"-",DRG_14!E26/DRG_13!E26*100-100)</f>
        <v>4.524535073213471</v>
      </c>
      <c r="F26" s="81">
        <f>IF(DRG_13!F26=0,"-",DRG_14!F26/DRG_13!F26*100-100)</f>
        <v>21.569053569488219</v>
      </c>
      <c r="G26" s="81">
        <f>IF(DRG_14!G26=0,"-",DRG_14!G26/DRG_13!G26*100-100)</f>
        <v>3.5963553019480656</v>
      </c>
      <c r="H26" s="29">
        <f>IF(DRG_13!I26=0,"-",DRG_14!I26/DRG_13!I26*100-100)</f>
        <v>4.2521426875192105</v>
      </c>
      <c r="J26" s="109"/>
      <c r="K26" s="112"/>
      <c r="L26" s="112"/>
      <c r="M26" s="112"/>
    </row>
    <row r="27" spans="1:13" ht="13.5" customHeight="1" x14ac:dyDescent="0.2">
      <c r="A27" s="75">
        <f>+'(skema1-7_2013 - 13pl)'!A27</f>
        <v>6630</v>
      </c>
      <c r="B27" s="7" t="str">
        <f>+'(skema1-7_2013 - 13pl)'!B27</f>
        <v>Hospitalsenhed Midt</v>
      </c>
      <c r="C27" s="91">
        <f>IF(DRG_13!C27=0,"-",DRG_14!C27/DRG_13!C27*100-100)</f>
        <v>3.2228070164804592</v>
      </c>
      <c r="D27" s="81">
        <f>IF(DRG_13!D27=0,"-",DRG_14!D27/DRG_13!D27*100-100)</f>
        <v>7.7795049336583162</v>
      </c>
      <c r="E27" s="81">
        <f>IF(DRG_13!E27=0,"-",DRG_14!E27/DRG_13!E27*100-100)</f>
        <v>4.851147870494259</v>
      </c>
      <c r="F27" s="81">
        <f>IF(DRG_13!F27=0,"-",DRG_14!F27/DRG_13!F27*100-100)</f>
        <v>16.461988734134408</v>
      </c>
      <c r="G27" s="81">
        <f>IF(DRG_14!G27=0,"-",DRG_14!G27/DRG_13!G27*100-100)</f>
        <v>-83.704472565830557</v>
      </c>
      <c r="H27" s="29">
        <f>IF(DRG_13!I27=0,"-",DRG_14!I27/DRG_13!I27*100-100)</f>
        <v>5.5969542592282551</v>
      </c>
      <c r="J27" s="109"/>
      <c r="K27" s="112"/>
      <c r="L27" s="112"/>
      <c r="M27" s="112"/>
    </row>
    <row r="28" spans="1:13" ht="13.5" customHeight="1" x14ac:dyDescent="0.2">
      <c r="A28" s="75">
        <f>+'(skema1-7_2013 - 13pl)'!A28</f>
        <v>7603</v>
      </c>
      <c r="B28" s="7" t="str">
        <f>+'(skema1-7_2013 - 13pl)'!B28</f>
        <v>Sygehus Thy - Mors</v>
      </c>
      <c r="C28" s="91">
        <f>IF(DRG_13!C28=0,"-",DRG_14!C28/DRG_13!C28*100-100)</f>
        <v>-4.3759440559440606</v>
      </c>
      <c r="D28" s="81">
        <f>IF(DRG_13!D28=0,"-",DRG_14!D28/DRG_13!D28*100-100)</f>
        <v>4.3264177040110496</v>
      </c>
      <c r="E28" s="81">
        <f>IF(DRG_13!E28=0,"-",DRG_14!E28/DRG_13!E28*100-100)</f>
        <v>-1.5859622450272326</v>
      </c>
      <c r="F28" s="81">
        <f>IF(DRG_13!F28=0,"-",DRG_14!F28/DRG_13!F28*100-100)</f>
        <v>-21.288067898152775</v>
      </c>
      <c r="G28" s="81">
        <f>IF(DRG_14!G28=0,"-",DRG_14!G28/DRG_13!G28*100-100)</f>
        <v>169.26525929525917</v>
      </c>
      <c r="H28" s="29">
        <f>IF(DRG_13!I28=0,"-",DRG_14!I28/DRG_13!I28*100-100)</f>
        <v>-0.37481867550967252</v>
      </c>
      <c r="J28" s="109"/>
      <c r="K28" s="112"/>
      <c r="L28" s="112"/>
      <c r="M28" s="112"/>
    </row>
    <row r="29" spans="1:13" ht="13.5" customHeight="1" x14ac:dyDescent="0.2">
      <c r="A29" s="75">
        <f>+'(skema1-7_2013 - 13pl)'!A29</f>
        <v>8001</v>
      </c>
      <c r="B29" s="7" t="str">
        <f>+'(skema1-7_2013 - 13pl)'!B29</f>
        <v>Aalborg Universitetshospital</v>
      </c>
      <c r="C29" s="91">
        <f>IF(DRG_13!C29=0,"-",DRG_14!C29/DRG_13!C29*100-100)</f>
        <v>-0.14529996780352405</v>
      </c>
      <c r="D29" s="81">
        <f>IF(DRG_13!D29=0,"-",DRG_14!D29/DRG_13!D29*100-100)</f>
        <v>14.389351974447379</v>
      </c>
      <c r="E29" s="81">
        <f>IF(DRG_13!E29=0,"-",DRG_14!E29/DRG_13!E29*100-100)</f>
        <v>5.716974056652262</v>
      </c>
      <c r="F29" s="81">
        <f>IF(DRG_13!F29=0,"-",DRG_14!F29/DRG_13!F29*100-100)</f>
        <v>61.99707803490756</v>
      </c>
      <c r="G29" s="81">
        <f>IF(DRG_14!G29=0,"-",DRG_14!G29/DRG_13!G29*100-100)</f>
        <v>42.52984855312053</v>
      </c>
      <c r="H29" s="29">
        <f>IF(DRG_13!I29=0,"-",DRG_14!I29/DRG_13!I29*100-100)</f>
        <v>2.8572642686643945</v>
      </c>
      <c r="J29" s="109"/>
      <c r="K29" s="112"/>
      <c r="L29" s="112"/>
      <c r="M29" s="112"/>
    </row>
    <row r="30" spans="1:13" ht="13.5" customHeight="1" x14ac:dyDescent="0.2">
      <c r="A30" s="75">
        <f>+'(skema1-7_2013 - 13pl)'!A30</f>
        <v>8003</v>
      </c>
      <c r="B30" s="7" t="str">
        <f>+'(skema1-7_2013 - 13pl)'!B30</f>
        <v>Sygehus Vendsyssel</v>
      </c>
      <c r="C30" s="91">
        <f>IF(DRG_13!C30=0,"-",DRG_14!C30/DRG_13!C30*100-100)</f>
        <v>-5.6248366760937074</v>
      </c>
      <c r="D30" s="81">
        <f>IF(DRG_13!D30=0,"-",DRG_14!D30/DRG_13!D30*100-100)</f>
        <v>6.1855110803395519</v>
      </c>
      <c r="E30" s="81">
        <f>IF(DRG_13!E30=0,"-",DRG_14!E30/DRG_13!E30*100-100)</f>
        <v>-1.2027436561898242</v>
      </c>
      <c r="F30" s="81">
        <f>IF(DRG_13!F30=0,"-",DRG_14!F30/DRG_13!F30*100-100)</f>
        <v>6.4086957458498119</v>
      </c>
      <c r="G30" s="81">
        <f>IF(DRG_14!G30=0,"-",DRG_14!G30/DRG_13!G30*100-100)</f>
        <v>-5.5609192491546651</v>
      </c>
      <c r="H30" s="29">
        <f>IF(DRG_13!I30=0,"-",DRG_14!I30/DRG_13!I30*100-100)</f>
        <v>1.6768551139651748</v>
      </c>
      <c r="J30" s="109"/>
      <c r="K30" s="112"/>
      <c r="L30" s="112"/>
      <c r="M30" s="112"/>
    </row>
    <row r="31" spans="1:13" ht="13.5" customHeight="1" x14ac:dyDescent="0.2">
      <c r="A31" s="13"/>
      <c r="B31" s="13" t="s">
        <v>20</v>
      </c>
      <c r="C31" s="83">
        <f>IF(DRG_13!C31=0,"-",DRG_14!C31/DRG_13!C31*100-100)</f>
        <v>1.7087319819171825</v>
      </c>
      <c r="D31" s="83">
        <f>IF(DRG_13!D31=0,"-",DRG_14!D31/DRG_13!D31*100-100)</f>
        <v>9.777458036880688</v>
      </c>
      <c r="E31" s="83">
        <f>IF(DRG_13!E31=0,"-",DRG_14!E31/DRG_13!E31*100-100)</f>
        <v>4.9639525156759845</v>
      </c>
      <c r="F31" s="83">
        <f>IF(DRG_13!F31=0,"-",DRG_14!F31/DRG_13!F31*100-100)</f>
        <v>23.834064359774715</v>
      </c>
      <c r="G31" s="83"/>
      <c r="H31" s="14">
        <f>IF(DRG_13!I31=0,"-",DRG_14!I31/DRG_13!I31*100-100)</f>
        <v>3.6234300448523697</v>
      </c>
      <c r="I31" s="110"/>
      <c r="J31" s="110"/>
      <c r="K31" s="110"/>
    </row>
    <row r="32" spans="1:13" ht="13.5" customHeight="1" x14ac:dyDescent="0.2">
      <c r="A32" s="37"/>
      <c r="B32" s="15"/>
      <c r="C32" s="16"/>
      <c r="D32" s="16"/>
      <c r="E32" s="16"/>
      <c r="F32" s="16"/>
      <c r="G32" s="16"/>
      <c r="H32" s="16"/>
      <c r="I32" s="110"/>
      <c r="J32" s="110"/>
      <c r="K32" s="110"/>
    </row>
    <row r="33" spans="1:11" ht="13.5" customHeight="1" x14ac:dyDescent="0.2">
      <c r="A33" s="37"/>
      <c r="B33" s="17" t="s">
        <v>34</v>
      </c>
      <c r="C33" s="18">
        <f>IF(DRG_13!C33=0,"-",DRG_14!C33/DRG_13!C33*100-100)</f>
        <v>3.3618204034372212</v>
      </c>
      <c r="D33" s="18">
        <f>IF(DRG_13!D33=0,"-",DRG_14!D33/DRG_13!D33*100-100)</f>
        <v>13.468859864837796</v>
      </c>
      <c r="E33" s="18">
        <f>IF(DRG_13!E33=0,"-",DRG_14!E33/DRG_13!E33*100-100)</f>
        <v>7.0948515635757872</v>
      </c>
      <c r="F33" s="18">
        <f>IF(DRG_13!F33=0,"-",DRG_14!F33/DRG_13!F33*100-100)</f>
        <v>32.035418919313827</v>
      </c>
      <c r="G33" s="18">
        <f>IF(DRG_13!G33=0,"-",DRG_14!G33/DRG_13!G33*100-100)</f>
        <v>-10.860736561828261</v>
      </c>
      <c r="H33" s="6">
        <f>IF(DRG_13!I33=0,"-",DRG_14!I33/DRG_13!I33*100-100)</f>
        <v>4.5516521936598338</v>
      </c>
      <c r="I33" s="110"/>
      <c r="J33" s="47"/>
      <c r="K33" s="110"/>
    </row>
    <row r="34" spans="1:11" ht="13.5" customHeight="1" x14ac:dyDescent="0.2">
      <c r="A34" s="37"/>
      <c r="B34" s="19" t="s">
        <v>35</v>
      </c>
      <c r="C34" s="5">
        <f>IF(DRG_13!C34=0,"-",DRG_14!C34/DRG_13!C34*100-100)</f>
        <v>3.5609387874327041</v>
      </c>
      <c r="D34" s="5">
        <f>IF(DRG_13!D34=0,"-",DRG_14!D34/DRG_13!D34*100-100)</f>
        <v>8.1535946143976616</v>
      </c>
      <c r="E34" s="5">
        <f>IF(DRG_13!E34=0,"-",DRG_14!E34/DRG_13!E34*100-100)</f>
        <v>5.3776149032319012</v>
      </c>
      <c r="F34" s="5">
        <f>IF(DRG_13!F34=0,"-",DRG_14!F34/DRG_13!F34*100-100)</f>
        <v>18.027271093659891</v>
      </c>
      <c r="G34" s="5">
        <f>IF(DRG_13!G34=0,"-",DRG_14!G34/DRG_13!G34*100-100)</f>
        <v>23.272753009133368</v>
      </c>
      <c r="H34" s="8">
        <f>IF(DRG_13!I34=0,"-",DRG_14!I34/DRG_13!I34*100-100)</f>
        <v>4.5317946141037311</v>
      </c>
      <c r="I34" s="110"/>
      <c r="J34" s="47"/>
      <c r="K34" s="110"/>
    </row>
    <row r="35" spans="1:11" ht="13.5" customHeight="1" x14ac:dyDescent="0.2">
      <c r="A35" s="37"/>
      <c r="B35" s="19" t="s">
        <v>36</v>
      </c>
      <c r="C35" s="5">
        <f>IF(DRG_13!C35=0,"-",DRG_14!C35/DRG_13!C35*100-100)</f>
        <v>-0.15799779463361574</v>
      </c>
      <c r="D35" s="5">
        <f>IF(DRG_13!D35=0,"-",DRG_14!D35/DRG_13!D35*100-100)</f>
        <v>6.1125230400605801</v>
      </c>
      <c r="E35" s="5">
        <f>IF(DRG_13!E35=0,"-",DRG_14!E35/DRG_13!E35*100-100)</f>
        <v>2.8056408865096074</v>
      </c>
      <c r="F35" s="5">
        <f>IF(DRG_13!F35=0,"-",DRG_14!F35/DRG_13!F35*100-100)</f>
        <v>13.732334872308357</v>
      </c>
      <c r="G35" s="5">
        <f>IF(DRG_13!G35=0,"-",DRG_14!G35/DRG_13!G35*100-100)</f>
        <v>-40.734277382815364</v>
      </c>
      <c r="H35" s="8">
        <f>IF(DRG_13!I35=0,"-",DRG_14!I35/DRG_13!I35*100-100)</f>
        <v>1.9521374952636563</v>
      </c>
      <c r="I35" s="110"/>
      <c r="J35" s="47"/>
      <c r="K35" s="110"/>
    </row>
    <row r="36" spans="1:11" ht="13.5" customHeight="1" x14ac:dyDescent="0.2">
      <c r="A36" s="37"/>
      <c r="B36" s="19" t="s">
        <v>37</v>
      </c>
      <c r="C36" s="5">
        <f>IF(DRG_13!C36=0,"-",DRG_14!C36/DRG_13!C36*100-100)</f>
        <v>0.86847617237862096</v>
      </c>
      <c r="D36" s="5">
        <f>IF(DRG_13!D36=0,"-",DRG_14!D36/DRG_13!D36*100-100)</f>
        <v>8.593896053857236</v>
      </c>
      <c r="E36" s="5">
        <f>IF(DRG_13!E36=0,"-",DRG_14!E36/DRG_13!E36*100-100)</f>
        <v>3.9317933995765486</v>
      </c>
      <c r="F36" s="5">
        <f>IF(DRG_13!F36=0,"-",DRG_14!F36/DRG_13!F36*100-100)</f>
        <v>18.957500218480746</v>
      </c>
      <c r="G36" s="5">
        <f>IF(DRG_13!G36=0,"-",DRG_14!G36/DRG_13!G36*100-100)</f>
        <v>-50.669352907580404</v>
      </c>
      <c r="H36" s="8">
        <f>IF(DRG_13!I36=0,"-",DRG_14!I36/DRG_13!I36*100-100)</f>
        <v>3.7888182407765498</v>
      </c>
      <c r="I36" s="110"/>
      <c r="J36" s="47"/>
      <c r="K36" s="110"/>
    </row>
    <row r="37" spans="1:11" ht="13.5" customHeight="1" x14ac:dyDescent="0.2">
      <c r="A37" s="38"/>
      <c r="B37" s="20" t="s">
        <v>38</v>
      </c>
      <c r="C37" s="10">
        <f>IF(DRG_13!C37=0,"-",DRG_14!C37/DRG_13!C37*100-100)</f>
        <v>-1.5052179279626756</v>
      </c>
      <c r="D37" s="10">
        <f>IF(DRG_13!D37=0,"-",DRG_14!D37/DRG_13!D37*100-100)</f>
        <v>12.385865441125148</v>
      </c>
      <c r="E37" s="10">
        <f>IF(DRG_13!E37=0,"-",DRG_14!E37/DRG_13!E37*100-100)</f>
        <v>3.9440280880674266</v>
      </c>
      <c r="F37" s="10">
        <f>IF(DRG_13!F37=0,"-",DRG_14!F37/DRG_13!F37*100-100)</f>
        <v>46.421407115610492</v>
      </c>
      <c r="G37" s="10">
        <f>IF(DRG_13!G37=0,"-",DRG_14!G37/DRG_13!G37*100-100)</f>
        <v>-8.0053153192413191</v>
      </c>
      <c r="H37" s="21">
        <f>IF(DRG_13!I37=0,"-",DRG_14!I37/DRG_13!I37*100-100)</f>
        <v>2.4148882802563492</v>
      </c>
      <c r="I37" s="110"/>
      <c r="J37" s="47"/>
      <c r="K37" s="110"/>
    </row>
    <row r="38" spans="1:11" ht="13.5" customHeight="1" x14ac:dyDescent="0.2">
      <c r="A38" s="38"/>
      <c r="B38" s="13" t="s">
        <v>20</v>
      </c>
      <c r="C38" s="23">
        <f>IF(DRG_13!C38=0,"-",DRG_14!C38/DRG_13!C38*100-100)</f>
        <v>1.7087319819171825</v>
      </c>
      <c r="D38" s="22">
        <f>IF(DRG_13!D38=0,"-",DRG_14!D38/DRG_13!D38*100-100)</f>
        <v>9.777458036880688</v>
      </c>
      <c r="E38" s="22">
        <f>IF(DRG_13!E38=0,"-",DRG_14!E38/DRG_13!E38*100-100)</f>
        <v>4.9639525156759845</v>
      </c>
      <c r="F38" s="22">
        <f>IF(DRG_13!F38=0,"-",DRG_14!F38/DRG_13!F38*100-100)</f>
        <v>23.834064359774715</v>
      </c>
      <c r="G38" s="89">
        <f>IF(DRG_13!G38=0,"-",DRG_14!G38/DRG_13!G38*100-100)</f>
        <v>-100</v>
      </c>
      <c r="H38" s="23">
        <f>IF(DRG_13!I38=0,"-",DRG_14!I38/DRG_13!I38*100-100)</f>
        <v>3.6234300448523697</v>
      </c>
      <c r="I38" s="110"/>
      <c r="J38" s="110"/>
      <c r="K38" s="110"/>
    </row>
    <row r="39" spans="1:11" ht="13.5" customHeight="1" x14ac:dyDescent="0.2">
      <c r="I39" s="110"/>
      <c r="J39" s="110"/>
      <c r="K39" s="110"/>
    </row>
    <row r="40" spans="1:11" ht="13.5" customHeight="1" x14ac:dyDescent="0.2">
      <c r="I40" s="110"/>
      <c r="J40" s="110"/>
      <c r="K40" s="110"/>
    </row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82" orientation="landscape" r:id="rId1"/>
  <headerFooter alignWithMargins="0">
    <oddHeader>&amp;CSide &amp;P /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zoomScaleNormal="100" workbookViewId="0"/>
  </sheetViews>
  <sheetFormatPr defaultColWidth="8.85546875" defaultRowHeight="12" x14ac:dyDescent="0.2"/>
  <cols>
    <col min="1" max="1" width="8.5703125" style="145" customWidth="1"/>
    <col min="2" max="2" width="39.28515625" style="107" customWidth="1"/>
    <col min="3" max="8" width="10" style="107" customWidth="1"/>
    <col min="9" max="9" width="11.42578125" style="107" customWidth="1"/>
    <col min="10" max="10" width="9.42578125" style="107" customWidth="1"/>
    <col min="11" max="12" width="8.85546875" style="107"/>
    <col min="13" max="13" width="10.140625" style="107" bestFit="1" customWidth="1"/>
    <col min="14" max="16384" width="8.85546875" style="107"/>
  </cols>
  <sheetData>
    <row r="1" spans="1:15" ht="15.75" x14ac:dyDescent="0.25">
      <c r="A1" s="72"/>
    </row>
    <row r="2" spans="1:15" ht="13.5" customHeight="1" x14ac:dyDescent="0.2">
      <c r="A2" s="113" t="s">
        <v>233</v>
      </c>
    </row>
    <row r="3" spans="1:15" ht="13.5" customHeight="1" x14ac:dyDescent="0.2">
      <c r="A3" s="93" t="s">
        <v>47</v>
      </c>
    </row>
    <row r="4" spans="1:15" ht="33.75" customHeight="1" x14ac:dyDescent="0.2">
      <c r="A4" s="114"/>
      <c r="B4" s="115"/>
      <c r="C4" s="274" t="s">
        <v>23</v>
      </c>
      <c r="D4" s="275"/>
      <c r="E4" s="274" t="s">
        <v>48</v>
      </c>
      <c r="F4" s="275"/>
      <c r="G4" s="273" t="s">
        <v>150</v>
      </c>
      <c r="H4" s="273"/>
      <c r="I4" s="273"/>
      <c r="J4" s="116" t="s">
        <v>26</v>
      </c>
    </row>
    <row r="5" spans="1:15" ht="24" customHeight="1" x14ac:dyDescent="0.2">
      <c r="A5" s="117" t="s">
        <v>12</v>
      </c>
      <c r="B5" s="118" t="s">
        <v>0</v>
      </c>
      <c r="C5" s="151">
        <v>2013</v>
      </c>
      <c r="D5" s="150">
        <v>2014</v>
      </c>
      <c r="E5" s="154">
        <v>2013</v>
      </c>
      <c r="F5" s="150">
        <v>2014</v>
      </c>
      <c r="G5" s="120" t="s">
        <v>33</v>
      </c>
      <c r="H5" s="121" t="s">
        <v>24</v>
      </c>
      <c r="I5" s="122" t="s">
        <v>25</v>
      </c>
      <c r="J5" s="123">
        <v>2014</v>
      </c>
    </row>
    <row r="6" spans="1:15" ht="13.5" customHeight="1" x14ac:dyDescent="0.2">
      <c r="A6" s="4">
        <f>+'(skema1-7_2013 - 13pl)'!A5</f>
        <v>1301</v>
      </c>
      <c r="B6" s="4" t="str">
        <f>+'(skema1-7_2013 - 13pl)'!B5</f>
        <v>Rigshospitalet</v>
      </c>
      <c r="C6" s="124">
        <f>DRG_13!I5/1000</f>
        <v>6344.3701674434278</v>
      </c>
      <c r="D6" s="152">
        <f>DRG_14!I5/1000</f>
        <v>6533.6698791147173</v>
      </c>
      <c r="E6" s="125">
        <f>DTD_13!G5/1000</f>
        <v>5461.8519550154606</v>
      </c>
      <c r="F6" s="155">
        <f>(DTD_14!G5/1000)</f>
        <v>5640.5236335988593</v>
      </c>
      <c r="G6" s="126">
        <f>(D6/C6-1)*100</f>
        <v>2.9837431719021312</v>
      </c>
      <c r="H6" s="127">
        <f>(F6/E6-1)*100</f>
        <v>3.2712654984969003</v>
      </c>
      <c r="I6" s="128">
        <f>((D6/C6)/(F6/E6)-1)*100</f>
        <v>-0.27841464439007924</v>
      </c>
      <c r="J6" s="129">
        <f t="shared" ref="J6:J32" si="0">(D6/F6)/($D$32/$F$32)*100</f>
        <v>102.9623960243315</v>
      </c>
      <c r="K6" s="130"/>
      <c r="L6" s="163"/>
      <c r="M6" s="131"/>
      <c r="N6" s="131"/>
      <c r="O6" s="136"/>
    </row>
    <row r="7" spans="1:15" ht="13.5" customHeight="1" x14ac:dyDescent="0.2">
      <c r="A7" s="7">
        <f>+'(skema1-7_2013 - 13pl)'!A6</f>
        <v>1309</v>
      </c>
      <c r="B7" s="7" t="str">
        <f>+'(skema1-7_2013 - 13pl)'!B6</f>
        <v>Bispebjerg og Frederiksberg Hospital</v>
      </c>
      <c r="C7" s="124">
        <f>DRG_13!I6/1000</f>
        <v>2581.4004552228771</v>
      </c>
      <c r="D7" s="152">
        <f>DRG_14!I6/1000</f>
        <v>2675.9366808424338</v>
      </c>
      <c r="E7" s="132">
        <f>DTD_13!G6/1000</f>
        <v>2317.7172107173287</v>
      </c>
      <c r="F7" s="152">
        <f>DTD_14!G6/1000</f>
        <v>2375.2595533047938</v>
      </c>
      <c r="G7" s="133">
        <f t="shared" ref="G7:G31" si="1">(D7/C7-1)*100</f>
        <v>3.6622069012300695</v>
      </c>
      <c r="H7" s="134">
        <f t="shared" ref="H7:H31" si="2">(F7/E7-1)*100</f>
        <v>2.4827162831334348</v>
      </c>
      <c r="I7" s="135">
        <f t="shared" ref="I7:I31" si="3">((D7/C7)/(F7/E7)-1)*100</f>
        <v>1.1509166236753465</v>
      </c>
      <c r="J7" s="129">
        <f t="shared" si="0"/>
        <v>100.13954999307555</v>
      </c>
      <c r="K7" s="130"/>
      <c r="L7" s="163"/>
      <c r="M7" s="131"/>
      <c r="N7" s="131"/>
      <c r="O7" s="136"/>
    </row>
    <row r="8" spans="1:15" ht="13.5" customHeight="1" x14ac:dyDescent="0.2">
      <c r="A8" s="7">
        <f>+'(skema1-7_2013 - 13pl)'!A7</f>
        <v>1330</v>
      </c>
      <c r="B8" s="7" t="str">
        <f>+'(skema1-7_2013 - 13pl)'!B7</f>
        <v>Amager og Hvidovre Hospital</v>
      </c>
      <c r="C8" s="124">
        <f>DRG_13!I7/1000</f>
        <v>2699.868299247179</v>
      </c>
      <c r="D8" s="152">
        <f>DRG_14!I7/1000</f>
        <v>2819.483356609112</v>
      </c>
      <c r="E8" s="132">
        <f>DTD_13!G7/1000</f>
        <v>2471.6641376057082</v>
      </c>
      <c r="F8" s="152">
        <f>DTD_14!G7/1000</f>
        <v>2474.6704947588673</v>
      </c>
      <c r="G8" s="133">
        <f t="shared" si="1"/>
        <v>4.4304034161698258</v>
      </c>
      <c r="H8" s="134">
        <f t="shared" si="2"/>
        <v>0.12163291554940781</v>
      </c>
      <c r="I8" s="135">
        <f t="shared" si="3"/>
        <v>4.3035359843309529</v>
      </c>
      <c r="J8" s="129">
        <f t="shared" si="0"/>
        <v>101.27284981141696</v>
      </c>
      <c r="K8" s="130"/>
      <c r="L8" s="163"/>
      <c r="M8" s="131"/>
      <c r="N8" s="131"/>
      <c r="O8" s="136"/>
    </row>
    <row r="9" spans="1:15" ht="13.5" customHeight="1" x14ac:dyDescent="0.2">
      <c r="A9" s="7">
        <f>+'(skema1-7_2013 - 13pl)'!A8</f>
        <v>1501</v>
      </c>
      <c r="B9" s="7" t="str">
        <f>+'(skema1-7_2013 - 13pl)'!B8</f>
        <v>Gentofte Hospital</v>
      </c>
      <c r="C9" s="124">
        <f>DRG_13!I8/1000</f>
        <v>1314.1620382724848</v>
      </c>
      <c r="D9" s="152">
        <f>DRG_14!I8/1000</f>
        <v>1394.17092004403</v>
      </c>
      <c r="E9" s="132">
        <f>DTD_13!G8/1000</f>
        <v>1204.1771218120991</v>
      </c>
      <c r="F9" s="152">
        <f>DTD_14!G8/1000</f>
        <v>1207.6632770385413</v>
      </c>
      <c r="G9" s="133">
        <f t="shared" si="1"/>
        <v>6.0882052168178546</v>
      </c>
      <c r="H9" s="134">
        <f t="shared" si="2"/>
        <v>0.28950518684460746</v>
      </c>
      <c r="I9" s="135">
        <f t="shared" si="3"/>
        <v>5.7819609531126526</v>
      </c>
      <c r="J9" s="129">
        <f t="shared" si="0"/>
        <v>102.61504400063583</v>
      </c>
      <c r="K9" s="136"/>
      <c r="L9" s="163"/>
      <c r="M9" s="131"/>
      <c r="N9" s="131"/>
      <c r="O9" s="136"/>
    </row>
    <row r="10" spans="1:15" ht="13.5" customHeight="1" x14ac:dyDescent="0.2">
      <c r="A10" s="7">
        <f>+'(skema1-7_2013 - 13pl)'!A9</f>
        <v>1502</v>
      </c>
      <c r="B10" s="7" t="str">
        <f>+'(skema1-7_2013 - 13pl)'!B9</f>
        <v>Glostrup Hospital</v>
      </c>
      <c r="C10" s="124">
        <f>DRG_13!I9/1000</f>
        <v>1614.1857208169745</v>
      </c>
      <c r="D10" s="152">
        <f>DRG_14!I9/1000</f>
        <v>1677.8670437589692</v>
      </c>
      <c r="E10" s="132">
        <f>DTD_13!G9/1000</f>
        <v>1500.85782852125</v>
      </c>
      <c r="F10" s="152">
        <f>DTD_14!G9/1000</f>
        <v>1543.1630750985298</v>
      </c>
      <c r="G10" s="133">
        <f t="shared" si="1"/>
        <v>3.9451050842999713</v>
      </c>
      <c r="H10" s="134">
        <f t="shared" si="2"/>
        <v>2.8187377760465093</v>
      </c>
      <c r="I10" s="135">
        <f t="shared" si="3"/>
        <v>1.0954883639078039</v>
      </c>
      <c r="J10" s="129">
        <f t="shared" si="0"/>
        <v>96.646603738395726</v>
      </c>
      <c r="K10" s="136"/>
      <c r="L10" s="163"/>
      <c r="M10" s="131"/>
      <c r="N10" s="131"/>
      <c r="O10" s="136"/>
    </row>
    <row r="11" spans="1:15" ht="13.5" customHeight="1" x14ac:dyDescent="0.2">
      <c r="A11" s="7">
        <f>+'(skema1-7_2013 - 13pl)'!A10</f>
        <v>1516</v>
      </c>
      <c r="B11" s="7" t="str">
        <f>+'(skema1-7_2013 - 13pl)'!B10</f>
        <v>Herlev Hospital</v>
      </c>
      <c r="C11" s="124">
        <f>DRG_13!I10/1000</f>
        <v>3471.5868419456015</v>
      </c>
      <c r="D11" s="152">
        <f>DRG_14!I10/1000</f>
        <v>3671.2761393985948</v>
      </c>
      <c r="E11" s="132">
        <f>DTD_13!G10/1000</f>
        <v>2888.8857318350565</v>
      </c>
      <c r="F11" s="152">
        <f>DTD_14!G10/1000</f>
        <v>2973.0255708843115</v>
      </c>
      <c r="G11" s="133">
        <f t="shared" si="1"/>
        <v>5.7521043414567208</v>
      </c>
      <c r="H11" s="134">
        <f t="shared" si="2"/>
        <v>2.9125360730626104</v>
      </c>
      <c r="I11" s="135">
        <f t="shared" si="3"/>
        <v>2.7592054153423584</v>
      </c>
      <c r="J11" s="129">
        <f t="shared" si="0"/>
        <v>109.76383778717165</v>
      </c>
      <c r="K11" s="136"/>
      <c r="L11" s="163"/>
      <c r="M11" s="131"/>
      <c r="N11" s="131"/>
      <c r="O11" s="136"/>
    </row>
    <row r="12" spans="1:15" ht="13.5" customHeight="1" x14ac:dyDescent="0.2">
      <c r="A12" s="7">
        <f>+'(skema1-7_2013 - 13pl)'!A11</f>
        <v>2000</v>
      </c>
      <c r="B12" s="7" t="str">
        <f>+'(skema1-7_2013 - 13pl)'!B11</f>
        <v>Nordsjællands Hospital</v>
      </c>
      <c r="C12" s="124">
        <f>DRG_13!I11/1000</f>
        <v>2328.5032509854668</v>
      </c>
      <c r="D12" s="152">
        <f>DRG_14!I11/1000</f>
        <v>2513.5454791750467</v>
      </c>
      <c r="E12" s="132">
        <f>DTD_13!G11/1000</f>
        <v>2278.6101440596558</v>
      </c>
      <c r="F12" s="152">
        <f>DTD_14!G11/1000</f>
        <v>2227.7855341742143</v>
      </c>
      <c r="G12" s="133">
        <f t="shared" si="1"/>
        <v>7.9468314296433418</v>
      </c>
      <c r="H12" s="134">
        <f t="shared" si="2"/>
        <v>-2.2305092434500629</v>
      </c>
      <c r="I12" s="135">
        <f t="shared" si="3"/>
        <v>10.409526115294398</v>
      </c>
      <c r="J12" s="129">
        <f t="shared" si="0"/>
        <v>100.28921782904881</v>
      </c>
      <c r="K12" s="136"/>
      <c r="L12" s="163"/>
      <c r="M12" s="131"/>
      <c r="N12" s="131"/>
      <c r="O12" s="136"/>
    </row>
    <row r="13" spans="1:15" ht="13.5" customHeight="1" x14ac:dyDescent="0.2">
      <c r="A13" s="7">
        <f>+'(skema1-7_2013 - 13pl)'!A12</f>
        <v>4001</v>
      </c>
      <c r="B13" s="7" t="str">
        <f>+'(skema1-7_2013 - 13pl)'!B12</f>
        <v>Bornholms Hospital</v>
      </c>
      <c r="C13" s="124">
        <f>DRG_13!I12/1000</f>
        <v>320.49332603162196</v>
      </c>
      <c r="D13" s="152">
        <f>DRG_14!I12/1000</f>
        <v>329.65512450755966</v>
      </c>
      <c r="E13" s="132">
        <f>DTD_13!G12/1000</f>
        <v>371.50372490192495</v>
      </c>
      <c r="F13" s="152">
        <f>DTD_14!G12/1000</f>
        <v>363.00475837321108</v>
      </c>
      <c r="G13" s="133">
        <f t="shared" si="1"/>
        <v>2.858654995840304</v>
      </c>
      <c r="H13" s="134">
        <f t="shared" si="2"/>
        <v>-2.2877204073680768</v>
      </c>
      <c r="I13" s="135">
        <f t="shared" si="3"/>
        <v>5.2668665848999874</v>
      </c>
      <c r="J13" s="129">
        <f t="shared" si="0"/>
        <v>80.721344980673067</v>
      </c>
      <c r="K13" s="136"/>
      <c r="L13" s="163"/>
      <c r="M13" s="131"/>
      <c r="N13" s="131"/>
      <c r="O13" s="136"/>
    </row>
    <row r="14" spans="1:15" ht="13.5" customHeight="1" x14ac:dyDescent="0.2">
      <c r="A14" s="7">
        <f>+'(skema1-7_2013 - 13pl)'!A13</f>
        <v>3810</v>
      </c>
      <c r="B14" s="7" t="str">
        <f>+'(skema1-7_2013 - 13pl)'!B13</f>
        <v>Roskilde og Køge sygehuse</v>
      </c>
      <c r="C14" s="124">
        <f>DRG_13!I13/1000</f>
        <v>2742.9638466007059</v>
      </c>
      <c r="D14" s="152">
        <f>DRG_14!I13/1000</f>
        <v>2978.2449786378011</v>
      </c>
      <c r="E14" s="132">
        <f>DTD_13!G13/1000</f>
        <v>2424.7919157469059</v>
      </c>
      <c r="F14" s="152">
        <f>DTD_14!G13/1000</f>
        <v>2584.5378330021599</v>
      </c>
      <c r="G14" s="133">
        <f t="shared" si="1"/>
        <v>8.5776242486270462</v>
      </c>
      <c r="H14" s="134">
        <f t="shared" si="2"/>
        <v>6.5880258102909206</v>
      </c>
      <c r="I14" s="135">
        <f t="shared" si="3"/>
        <v>1.8666247200011865</v>
      </c>
      <c r="J14" s="129">
        <f t="shared" si="0"/>
        <v>102.42793107626127</v>
      </c>
      <c r="K14" s="136"/>
      <c r="L14" s="163"/>
      <c r="M14" s="131"/>
      <c r="N14" s="131"/>
      <c r="O14" s="136"/>
    </row>
    <row r="15" spans="1:15" ht="13.5" customHeight="1" x14ac:dyDescent="0.2">
      <c r="A15" s="7">
        <f>+'(skema1-7_2013 - 13pl)'!A14</f>
        <v>3820</v>
      </c>
      <c r="B15" s="7" t="str">
        <f>+'(skema1-7_2013 - 13pl)'!B14</f>
        <v>Holbæk Sygehus</v>
      </c>
      <c r="C15" s="124">
        <f>DRG_13!I14/1000</f>
        <v>1121.0043169625717</v>
      </c>
      <c r="D15" s="152">
        <f>DRG_14!I14/1000</f>
        <v>1176.580311644462</v>
      </c>
      <c r="E15" s="132">
        <f>DTD_13!G14/1000</f>
        <v>1008.550861702672</v>
      </c>
      <c r="F15" s="152">
        <f>DTD_14!G14/1000</f>
        <v>1068.2731626624081</v>
      </c>
      <c r="G15" s="133">
        <f t="shared" si="1"/>
        <v>4.9576967582494857</v>
      </c>
      <c r="H15" s="134">
        <f t="shared" si="2"/>
        <v>5.9215953530505017</v>
      </c>
      <c r="I15" s="135">
        <f t="shared" si="3"/>
        <v>-0.91001140191310226</v>
      </c>
      <c r="J15" s="129">
        <f t="shared" si="0"/>
        <v>97.899423615969212</v>
      </c>
      <c r="K15" s="136"/>
      <c r="L15" s="163"/>
      <c r="M15" s="131"/>
      <c r="N15" s="131"/>
      <c r="O15" s="136"/>
    </row>
    <row r="16" spans="1:15" ht="13.5" customHeight="1" x14ac:dyDescent="0.2">
      <c r="A16" s="7">
        <f>+'(skema1-7_2013 - 13pl)'!A15</f>
        <v>3830</v>
      </c>
      <c r="B16" s="7" t="str">
        <f>+'(skema1-7_2013 - 13pl)'!B15</f>
        <v>Næstved, Slagelse og Ringsted sygehuse</v>
      </c>
      <c r="C16" s="124">
        <f>DRG_13!I15/1000</f>
        <v>2569.8414224420853</v>
      </c>
      <c r="D16" s="152">
        <f>DRG_14!I15/1000</f>
        <v>2595.511194589099</v>
      </c>
      <c r="E16" s="132">
        <f>DTD_13!G15/1000</f>
        <v>2384.885848908099</v>
      </c>
      <c r="F16" s="152">
        <f>DTD_14!G15/1000</f>
        <v>2377.6622056097044</v>
      </c>
      <c r="G16" s="133">
        <f t="shared" si="1"/>
        <v>0.99888545350863556</v>
      </c>
      <c r="H16" s="134">
        <f t="shared" si="2"/>
        <v>-0.30289262279373785</v>
      </c>
      <c r="I16" s="135">
        <f t="shared" si="3"/>
        <v>1.3057330453701832</v>
      </c>
      <c r="J16" s="129">
        <f t="shared" si="0"/>
        <v>97.031697266952946</v>
      </c>
      <c r="K16" s="136"/>
      <c r="L16" s="163"/>
      <c r="M16" s="131"/>
      <c r="N16" s="131"/>
      <c r="O16" s="136"/>
    </row>
    <row r="17" spans="1:15" ht="13.5" customHeight="1" x14ac:dyDescent="0.2">
      <c r="A17" s="7">
        <f>+'(skema1-7_2013 - 13pl)'!A16</f>
        <v>3840</v>
      </c>
      <c r="B17" s="7" t="str">
        <f>+'(skema1-7_2013 - 13pl)'!B16</f>
        <v>Nykøbing Sygehus</v>
      </c>
      <c r="C17" s="124">
        <f>DRG_13!I16/1000</f>
        <v>815.70585501175765</v>
      </c>
      <c r="D17" s="152">
        <f>DRG_14!I16/1000</f>
        <v>827.7121064503915</v>
      </c>
      <c r="E17" s="132">
        <f>DTD_13!G16/1000</f>
        <v>784.0134624367106</v>
      </c>
      <c r="F17" s="152">
        <f>DTD_14!G16/1000</f>
        <v>847.79040386003601</v>
      </c>
      <c r="G17" s="133">
        <f t="shared" si="1"/>
        <v>1.4718849159738756</v>
      </c>
      <c r="H17" s="134">
        <f t="shared" si="2"/>
        <v>8.1346742726976728</v>
      </c>
      <c r="I17" s="135">
        <f t="shared" si="3"/>
        <v>-6.1615660300796353</v>
      </c>
      <c r="J17" s="129">
        <f t="shared" si="0"/>
        <v>86.782406109614257</v>
      </c>
      <c r="K17" s="136"/>
      <c r="L17" s="163"/>
      <c r="M17" s="131"/>
      <c r="N17" s="131"/>
      <c r="O17" s="136"/>
    </row>
    <row r="18" spans="1:15" ht="13.5" customHeight="1" x14ac:dyDescent="0.2">
      <c r="A18" s="7">
        <f>+'(skema1-7_2013 - 13pl)'!A17</f>
        <v>4202</v>
      </c>
      <c r="B18" s="7" t="str">
        <f>+'(skema1-7_2013 - 13pl)'!B17</f>
        <v>Odense Universitetshospital</v>
      </c>
      <c r="C18" s="124">
        <f>DRG_13!I17/1000</f>
        <v>6231.0417647218464</v>
      </c>
      <c r="D18" s="152">
        <f>DRG_14!I17/1000</f>
        <v>6334.6528601693226</v>
      </c>
      <c r="E18" s="132">
        <f>DTD_13!G17/1000</f>
        <v>5535.9250575061524</v>
      </c>
      <c r="F18" s="152">
        <f>DTD_14!G17/1000</f>
        <v>5576.8076486258633</v>
      </c>
      <c r="G18" s="133">
        <f t="shared" si="1"/>
        <v>1.6628213926295432</v>
      </c>
      <c r="H18" s="134">
        <f t="shared" si="2"/>
        <v>0.73849610850995617</v>
      </c>
      <c r="I18" s="135">
        <f t="shared" si="3"/>
        <v>0.91754921884474872</v>
      </c>
      <c r="J18" s="129">
        <f t="shared" si="0"/>
        <v>100.96666961390559</v>
      </c>
      <c r="K18" s="136"/>
      <c r="L18" s="163"/>
      <c r="M18" s="131"/>
      <c r="N18" s="131"/>
      <c r="O18" s="136"/>
    </row>
    <row r="19" spans="1:15" ht="13.5" customHeight="1" x14ac:dyDescent="0.2">
      <c r="A19" s="7">
        <f>+'(skema1-7_2013 - 13pl)'!A18</f>
        <v>5000</v>
      </c>
      <c r="B19" s="7" t="str">
        <f>+'(skema1-7_2013 - 13pl)'!B18</f>
        <v>Sygehus Sønderjylland</v>
      </c>
      <c r="C19" s="124">
        <f>DRG_13!I18/1000</f>
        <v>1728.6667346417476</v>
      </c>
      <c r="D19" s="152">
        <f>DRG_14!I18/1000</f>
        <v>1755.8671843612919</v>
      </c>
      <c r="E19" s="132">
        <f>DTD_13!G18/1000</f>
        <v>1678.4211595712086</v>
      </c>
      <c r="F19" s="152">
        <f>DTD_14!G18/1000</f>
        <v>1616.243879541664</v>
      </c>
      <c r="G19" s="133">
        <f t="shared" si="1"/>
        <v>1.5734929801366038</v>
      </c>
      <c r="H19" s="134">
        <f t="shared" si="2"/>
        <v>-3.7045100197276581</v>
      </c>
      <c r="I19" s="135">
        <f t="shared" si="3"/>
        <v>5.481049009611505</v>
      </c>
      <c r="J19" s="129">
        <f t="shared" si="0"/>
        <v>96.566311954588642</v>
      </c>
      <c r="K19" s="136"/>
      <c r="L19" s="163"/>
      <c r="M19" s="131"/>
      <c r="N19" s="131"/>
      <c r="O19" s="136"/>
    </row>
    <row r="20" spans="1:15" ht="13.5" customHeight="1" x14ac:dyDescent="0.2">
      <c r="A20" s="7">
        <f>+'(skema1-7_2013 - 13pl)'!A19</f>
        <v>5501</v>
      </c>
      <c r="B20" s="7" t="str">
        <f>+'(skema1-7_2013 - 13pl)'!B19</f>
        <v>Sydvestjysk Sygehus</v>
      </c>
      <c r="C20" s="124">
        <f>DRG_13!I19/1000</f>
        <v>1724.6473278186211</v>
      </c>
      <c r="D20" s="152">
        <f>DRG_14!I19/1000</f>
        <v>1785.9331784976694</v>
      </c>
      <c r="E20" s="132">
        <f>DTD_13!G19/1000</f>
        <v>1615.3119747564117</v>
      </c>
      <c r="F20" s="152">
        <f>DTD_14!G19/1000</f>
        <v>1574.9708294159361</v>
      </c>
      <c r="G20" s="133">
        <f t="shared" si="1"/>
        <v>3.5535294486301883</v>
      </c>
      <c r="H20" s="134">
        <f t="shared" si="2"/>
        <v>-2.4974213013284285</v>
      </c>
      <c r="I20" s="135">
        <f t="shared" si="3"/>
        <v>6.2059391974225386</v>
      </c>
      <c r="J20" s="129">
        <f t="shared" si="0"/>
        <v>100.79374163058745</v>
      </c>
      <c r="K20" s="136"/>
      <c r="L20" s="163"/>
      <c r="M20" s="131"/>
      <c r="N20" s="131"/>
      <c r="O20" s="136"/>
    </row>
    <row r="21" spans="1:15" ht="13.5" customHeight="1" x14ac:dyDescent="0.2">
      <c r="A21" s="7">
        <f>+'(skema1-7_2013 - 13pl)'!A20</f>
        <v>6007</v>
      </c>
      <c r="B21" s="7" t="str">
        <f>+'(skema1-7_2013 - 13pl)'!B20</f>
        <v>Fredericia og Kolding sygehuse</v>
      </c>
      <c r="C21" s="124">
        <f>DRG_13!I20/1000</f>
        <v>1459.1674917439072</v>
      </c>
      <c r="D21" s="152">
        <f>DRG_14!I20/1000</f>
        <v>1448.0685593807539</v>
      </c>
      <c r="E21" s="132">
        <f>DTD_13!G20/1000</f>
        <v>1331.7921321027056</v>
      </c>
      <c r="F21" s="152">
        <f>DTD_14!G20/1000</f>
        <v>1345.3598967937803</v>
      </c>
      <c r="G21" s="133">
        <f t="shared" si="1"/>
        <v>-0.76063456909176708</v>
      </c>
      <c r="H21" s="134">
        <f t="shared" si="2"/>
        <v>1.0187599373824963</v>
      </c>
      <c r="I21" s="135">
        <f t="shared" si="3"/>
        <v>-1.7614495639990402</v>
      </c>
      <c r="J21" s="129">
        <f t="shared" si="0"/>
        <v>95.673469285201833</v>
      </c>
      <c r="K21" s="136"/>
      <c r="L21" s="163"/>
      <c r="M21" s="131"/>
      <c r="N21" s="131"/>
      <c r="O21" s="136"/>
    </row>
    <row r="22" spans="1:15" ht="13.5" customHeight="1" x14ac:dyDescent="0.2">
      <c r="A22" s="7">
        <f>+'(skema1-7_2013 - 13pl)'!A21</f>
        <v>6008</v>
      </c>
      <c r="B22" s="7" t="str">
        <f>+'(skema1-7_2013 - 13pl)'!B21</f>
        <v>Vejle-Give-Middelfart sygehuse</v>
      </c>
      <c r="C22" s="124">
        <f>DRG_13!I21/1000</f>
        <v>1664.6561293905399</v>
      </c>
      <c r="D22" s="152">
        <f>DRG_14!I21/1000</f>
        <v>1729.7690717011271</v>
      </c>
      <c r="E22" s="132">
        <f>DTD_13!G21/1000</f>
        <v>1349.1821263042805</v>
      </c>
      <c r="F22" s="152">
        <f>DTD_14!G21/1000</f>
        <v>1356.1914647335209</v>
      </c>
      <c r="G22" s="133">
        <f t="shared" si="1"/>
        <v>3.9114950626125022</v>
      </c>
      <c r="H22" s="134">
        <f t="shared" si="2"/>
        <v>0.51952499907781391</v>
      </c>
      <c r="I22" s="135">
        <f t="shared" si="3"/>
        <v>3.374439009302721</v>
      </c>
      <c r="J22" s="129">
        <f t="shared" si="0"/>
        <v>113.37257141782516</v>
      </c>
      <c r="K22" s="136"/>
      <c r="L22" s="163"/>
      <c r="M22" s="131"/>
      <c r="N22" s="131"/>
      <c r="O22" s="136"/>
    </row>
    <row r="23" spans="1:15" ht="13.5" customHeight="1" x14ac:dyDescent="0.2">
      <c r="A23" s="7">
        <f>+'(skema1-7_2013 - 13pl)'!A22</f>
        <v>6013</v>
      </c>
      <c r="B23" s="7" t="str">
        <f>+'(skema1-7_2013 - 13pl)'!B22</f>
        <v>De Vestdanske Friklinikker, Give</v>
      </c>
      <c r="C23" s="124">
        <f>DRG_13!I22/1000</f>
        <v>129.38953009459027</v>
      </c>
      <c r="D23" s="152">
        <f>DRG_14!I22/1000</f>
        <v>135.83725930425069</v>
      </c>
      <c r="E23" s="132">
        <f>DTD_13!G22/1000</f>
        <v>86.845792106399998</v>
      </c>
      <c r="F23" s="152">
        <f>DTD_14!G22/1000</f>
        <v>85.956203200000004</v>
      </c>
      <c r="G23" s="133">
        <f t="shared" si="1"/>
        <v>4.9831923842267756</v>
      </c>
      <c r="H23" s="134">
        <f t="shared" si="2"/>
        <v>-1.0243316167927952</v>
      </c>
      <c r="I23" s="135">
        <f t="shared" si="3"/>
        <v>6.0696978349871422</v>
      </c>
      <c r="J23" s="129">
        <f t="shared" si="0"/>
        <v>140.46967021905675</v>
      </c>
      <c r="K23" s="136"/>
      <c r="L23" s="163"/>
      <c r="M23" s="131"/>
      <c r="N23" s="131"/>
      <c r="O23" s="136"/>
    </row>
    <row r="24" spans="1:15" ht="13.5" customHeight="1" x14ac:dyDescent="0.2">
      <c r="A24" s="7">
        <f>+'(skema1-7_2013 - 13pl)'!A23</f>
        <v>6006</v>
      </c>
      <c r="B24" s="7" t="str">
        <f>+'(skema1-7_2013 - 13pl)'!B23</f>
        <v>Hospitalenheden Horsens</v>
      </c>
      <c r="C24" s="124">
        <f>DRG_13!I23/1000</f>
        <v>1067.3759306892725</v>
      </c>
      <c r="D24" s="152">
        <f>DRG_14!I23/1000</f>
        <v>1131.3904722744041</v>
      </c>
      <c r="E24" s="132">
        <f>DTD_13!G23/1000</f>
        <v>940.98639076902646</v>
      </c>
      <c r="F24" s="152">
        <f>DTD_14!G23/1000</f>
        <v>928.29635334118393</v>
      </c>
      <c r="G24" s="133">
        <f t="shared" si="1"/>
        <v>5.9973754086616315</v>
      </c>
      <c r="H24" s="134">
        <f t="shared" si="2"/>
        <v>-1.3485888374508259</v>
      </c>
      <c r="I24" s="135">
        <f t="shared" si="3"/>
        <v>7.4463853679785919</v>
      </c>
      <c r="J24" s="129">
        <f t="shared" si="0"/>
        <v>108.33449142973681</v>
      </c>
      <c r="K24" s="136"/>
      <c r="L24" s="163"/>
      <c r="M24" s="131"/>
      <c r="N24" s="131"/>
      <c r="O24" s="136"/>
    </row>
    <row r="25" spans="1:15" ht="13.5" customHeight="1" x14ac:dyDescent="0.2">
      <c r="A25" s="7">
        <f>+'(skema1-7_2013 - 13pl)'!A24</f>
        <v>6650</v>
      </c>
      <c r="B25" s="7" t="str">
        <f>+'(skema1-7_2013 - 13pl)'!B24</f>
        <v>Hospitalsenheden Vest</v>
      </c>
      <c r="C25" s="124">
        <f>DRG_13!I24/1000</f>
        <v>2130.446634712383</v>
      </c>
      <c r="D25" s="152">
        <f>DRG_14!I24/1000</f>
        <v>2185.8163751281268</v>
      </c>
      <c r="E25" s="132">
        <f>DTD_13!G24/1000</f>
        <v>1891.5492055987593</v>
      </c>
      <c r="F25" s="152">
        <f>DTD_14!G24/1000</f>
        <v>1900.9091311492798</v>
      </c>
      <c r="G25" s="133">
        <f t="shared" si="1"/>
        <v>2.5989733567402418</v>
      </c>
      <c r="H25" s="134">
        <f t="shared" si="2"/>
        <v>0.49482855232187983</v>
      </c>
      <c r="I25" s="135">
        <f t="shared" si="3"/>
        <v>2.0937841625580322</v>
      </c>
      <c r="J25" s="129">
        <f t="shared" si="0"/>
        <v>102.20995439266585</v>
      </c>
      <c r="K25" s="136"/>
      <c r="L25" s="163"/>
      <c r="M25" s="131"/>
      <c r="N25" s="131"/>
      <c r="O25" s="136"/>
    </row>
    <row r="26" spans="1:15" ht="13.5" customHeight="1" x14ac:dyDescent="0.2">
      <c r="A26" s="7">
        <f>+'(skema1-7_2013 - 13pl)'!A25</f>
        <v>6620</v>
      </c>
      <c r="B26" s="7" t="str">
        <f>+'(skema1-7_2013 - 13pl)'!B25</f>
        <v>Aarhus Universitetshospital</v>
      </c>
      <c r="C26" s="124">
        <f>DRG_13!I25/1000</f>
        <v>5977.7832868086089</v>
      </c>
      <c r="D26" s="152">
        <f>DRG_14!I25/1000</f>
        <v>6156.0907200794427</v>
      </c>
      <c r="E26" s="132">
        <f>DTD_13!G25/1000</f>
        <v>5788.5977465192873</v>
      </c>
      <c r="F26" s="152">
        <f>DTD_14!G25/1000</f>
        <v>5620.5852163020827</v>
      </c>
      <c r="G26" s="133">
        <f t="shared" si="1"/>
        <v>2.9828353541071273</v>
      </c>
      <c r="H26" s="134">
        <f t="shared" si="2"/>
        <v>-2.9024737522698185</v>
      </c>
      <c r="I26" s="135">
        <f t="shared" si="3"/>
        <v>6.0612348571697172</v>
      </c>
      <c r="J26" s="129">
        <f t="shared" si="0"/>
        <v>97.35636509890837</v>
      </c>
      <c r="K26" s="136"/>
      <c r="L26" s="163"/>
      <c r="M26" s="131"/>
      <c r="N26" s="131"/>
      <c r="O26" s="136"/>
    </row>
    <row r="27" spans="1:15" ht="13.5" customHeight="1" x14ac:dyDescent="0.2">
      <c r="A27" s="7">
        <f>+'(skema1-7_2013 - 13pl)'!A26</f>
        <v>7005</v>
      </c>
      <c r="B27" s="7" t="str">
        <f>+'(skema1-7_2013 - 13pl)'!B26</f>
        <v>Regionshospitalet Randers</v>
      </c>
      <c r="C27" s="124">
        <f>DRG_13!I26/1000</f>
        <v>1144.8741864276492</v>
      </c>
      <c r="D27" s="152">
        <f>DRG_14!I26/1000</f>
        <v>1193.5558704271275</v>
      </c>
      <c r="E27" s="132">
        <f>DTD_13!G26/1000</f>
        <v>990.48963450963879</v>
      </c>
      <c r="F27" s="152">
        <f>DTD_14!G26/1000</f>
        <v>1013.7151485059719</v>
      </c>
      <c r="G27" s="133">
        <f t="shared" si="1"/>
        <v>4.2521426875192114</v>
      </c>
      <c r="H27" s="134">
        <f t="shared" si="2"/>
        <v>2.3448517972458394</v>
      </c>
      <c r="I27" s="135">
        <f t="shared" si="3"/>
        <v>1.8635924101506163</v>
      </c>
      <c r="J27" s="129">
        <f t="shared" si="0"/>
        <v>104.65685815966685</v>
      </c>
      <c r="K27" s="136"/>
      <c r="L27" s="163"/>
      <c r="M27" s="131"/>
      <c r="N27" s="131"/>
      <c r="O27" s="136"/>
    </row>
    <row r="28" spans="1:15" ht="13.5" customHeight="1" x14ac:dyDescent="0.2">
      <c r="A28" s="7">
        <f>+'(skema1-7_2013 - 13pl)'!A27</f>
        <v>6630</v>
      </c>
      <c r="B28" s="7" t="str">
        <f>+'(skema1-7_2013 - 13pl)'!B27</f>
        <v>Hospitalsenhed Midt</v>
      </c>
      <c r="C28" s="124">
        <f>DRG_13!I27/1000</f>
        <v>2469.4398271356549</v>
      </c>
      <c r="D28" s="152">
        <f>DRG_14!I27/1000</f>
        <v>2607.6532447196032</v>
      </c>
      <c r="E28" s="132">
        <f>DTD_13!G27/1000</f>
        <v>2334.8337548136933</v>
      </c>
      <c r="F28" s="152">
        <f>DTD_14!G27/1000</f>
        <v>2361.2622007527598</v>
      </c>
      <c r="G28" s="133">
        <f t="shared" si="1"/>
        <v>5.5969542592282817</v>
      </c>
      <c r="H28" s="134">
        <f t="shared" si="2"/>
        <v>1.1319198159003507</v>
      </c>
      <c r="I28" s="135">
        <f t="shared" si="3"/>
        <v>4.4150595098521261</v>
      </c>
      <c r="J28" s="129">
        <f t="shared" si="0"/>
        <v>98.162701373641042</v>
      </c>
      <c r="K28" s="136"/>
      <c r="L28" s="163"/>
      <c r="M28" s="131"/>
      <c r="N28" s="131"/>
      <c r="O28" s="136"/>
    </row>
    <row r="29" spans="1:15" ht="13.5" customHeight="1" x14ac:dyDescent="0.2">
      <c r="A29" s="7">
        <f>+'(skema1-7_2013 - 13pl)'!A28</f>
        <v>7603</v>
      </c>
      <c r="B29" s="7" t="str">
        <f>+'(skema1-7_2013 - 13pl)'!B28</f>
        <v>Sygehus Thy - Mors</v>
      </c>
      <c r="C29" s="124">
        <f>DRG_13!I28/1000</f>
        <v>379.88980940439268</v>
      </c>
      <c r="D29" s="152">
        <f>DRG_14!I28/1000</f>
        <v>378.46591145238693</v>
      </c>
      <c r="E29" s="132">
        <f>DTD_13!G28/1000</f>
        <v>405.4876234347426</v>
      </c>
      <c r="F29" s="152">
        <f>DTD_14!G28/1000</f>
        <v>403.8280108301559</v>
      </c>
      <c r="G29" s="133">
        <f t="shared" si="1"/>
        <v>-0.37481867550966941</v>
      </c>
      <c r="H29" s="134">
        <f t="shared" si="2"/>
        <v>-0.40928810367347745</v>
      </c>
      <c r="I29" s="135">
        <f t="shared" si="3"/>
        <v>3.461108722637718E-2</v>
      </c>
      <c r="J29" s="129">
        <f t="shared" si="0"/>
        <v>83.305026140177489</v>
      </c>
      <c r="K29" s="136"/>
      <c r="L29" s="163"/>
      <c r="M29" s="131"/>
      <c r="N29" s="131"/>
      <c r="O29" s="136"/>
    </row>
    <row r="30" spans="1:15" ht="13.5" customHeight="1" x14ac:dyDescent="0.2">
      <c r="A30" s="7">
        <f>+'(skema1-7_2013 - 13pl)'!A29</f>
        <v>8001</v>
      </c>
      <c r="B30" s="7" t="str">
        <f>+'(skema1-7_2013 - 13pl)'!B29</f>
        <v>Aalborg Universitetshospital</v>
      </c>
      <c r="C30" s="124">
        <f>DRG_13!I29/1000</f>
        <v>3903.3458368146557</v>
      </c>
      <c r="D30" s="152">
        <f>DRG_14!I29/1000</f>
        <v>4014.8747426923605</v>
      </c>
      <c r="E30" s="132">
        <f>DTD_13!G29/1000</f>
        <v>3928.849833111306</v>
      </c>
      <c r="F30" s="152">
        <f>DTD_14!G29/1000</f>
        <v>3828.1955100530554</v>
      </c>
      <c r="G30" s="133">
        <f t="shared" si="1"/>
        <v>2.8572642686644167</v>
      </c>
      <c r="H30" s="134">
        <f t="shared" si="2"/>
        <v>-2.5619284862954728</v>
      </c>
      <c r="I30" s="135">
        <f t="shared" si="3"/>
        <v>5.5616789934083366</v>
      </c>
      <c r="J30" s="129">
        <f t="shared" si="0"/>
        <v>93.222075359003043</v>
      </c>
      <c r="K30" s="136"/>
      <c r="L30" s="163"/>
      <c r="M30" s="164"/>
      <c r="N30" s="131"/>
      <c r="O30" s="136"/>
    </row>
    <row r="31" spans="1:15" ht="13.5" customHeight="1" x14ac:dyDescent="0.25">
      <c r="A31" s="7">
        <f>+'(skema1-7_2013 - 13pl)'!A30</f>
        <v>8003</v>
      </c>
      <c r="B31" s="7" t="str">
        <f>+'(skema1-7_2013 - 13pl)'!B30</f>
        <v>Sygehus Vendsyssel</v>
      </c>
      <c r="C31" s="124">
        <f>DRG_13!I30/1000</f>
        <v>903.70630942102173</v>
      </c>
      <c r="D31" s="152">
        <f>DRG_14!I30/1000</f>
        <v>918.86015488577414</v>
      </c>
      <c r="E31" s="132">
        <f>DTD_13!G30/1000</f>
        <v>926.04344315485992</v>
      </c>
      <c r="F31" s="152">
        <f>DTD_14!G30/1000</f>
        <v>899.48528181406846</v>
      </c>
      <c r="G31" s="133">
        <f t="shared" si="1"/>
        <v>1.6768551139651811</v>
      </c>
      <c r="H31" s="134">
        <f t="shared" si="2"/>
        <v>-2.8679174327192136</v>
      </c>
      <c r="I31" s="135">
        <f t="shared" si="3"/>
        <v>4.6789612932846891</v>
      </c>
      <c r="J31" s="129">
        <f t="shared" si="0"/>
        <v>90.802171389315149</v>
      </c>
      <c r="K31" s="136"/>
      <c r="L31" s="163"/>
      <c r="M31" s="165"/>
      <c r="N31" s="131"/>
      <c r="O31" s="136"/>
    </row>
    <row r="32" spans="1:15" ht="13.5" customHeight="1" x14ac:dyDescent="0.2">
      <c r="A32" s="13"/>
      <c r="B32" s="13" t="s">
        <v>20</v>
      </c>
      <c r="C32" s="137">
        <f>SUM(C6:C31)</f>
        <v>58838.516340807648</v>
      </c>
      <c r="D32" s="153">
        <f>SUM(D6:D31)</f>
        <v>60970.48881984585</v>
      </c>
      <c r="E32" s="139">
        <f>SUM(E6:E31)</f>
        <v>53901.82581752132</v>
      </c>
      <c r="F32" s="153">
        <f>SUM(F6:F31)</f>
        <v>54195.166277424971</v>
      </c>
      <c r="G32" s="140">
        <f t="shared" ref="G32" si="4">(D32/C32-1)*100</f>
        <v>3.6234300448523715</v>
      </c>
      <c r="H32" s="141">
        <f>(F32/E32-1)*100</f>
        <v>0.54421247416873708</v>
      </c>
      <c r="I32" s="142">
        <f>((D32/C32)/(F32/E32)-1)*100</f>
        <v>3.0625507872715563</v>
      </c>
      <c r="J32" s="161">
        <f t="shared" si="0"/>
        <v>100</v>
      </c>
      <c r="L32" s="166"/>
      <c r="M32" s="131"/>
      <c r="N32" s="131"/>
      <c r="O32" s="136"/>
    </row>
    <row r="33" spans="1:15" ht="13.5" customHeight="1" x14ac:dyDescent="0.2">
      <c r="A33" s="144"/>
      <c r="B33" s="110"/>
      <c r="C33" s="110"/>
      <c r="D33" s="110"/>
      <c r="E33" s="110"/>
      <c r="F33" s="110"/>
      <c r="G33" s="110"/>
      <c r="H33" s="110"/>
      <c r="I33" s="142"/>
      <c r="J33" s="110"/>
      <c r="N33" s="131"/>
    </row>
    <row r="34" spans="1:15" ht="33.75" customHeight="1" x14ac:dyDescent="0.2">
      <c r="A34" s="144"/>
      <c r="B34" s="115"/>
      <c r="C34" s="276" t="s">
        <v>23</v>
      </c>
      <c r="D34" s="275"/>
      <c r="E34" s="274" t="s">
        <v>48</v>
      </c>
      <c r="F34" s="275"/>
      <c r="G34" s="273" t="s">
        <v>150</v>
      </c>
      <c r="H34" s="273"/>
      <c r="I34" s="273"/>
      <c r="J34" s="116" t="s">
        <v>26</v>
      </c>
    </row>
    <row r="35" spans="1:15" ht="22.5" x14ac:dyDescent="0.2">
      <c r="A35" s="149"/>
      <c r="B35" s="117" t="s">
        <v>0</v>
      </c>
      <c r="C35" s="119">
        <v>2013</v>
      </c>
      <c r="D35" s="119">
        <v>2014</v>
      </c>
      <c r="E35" s="119">
        <v>2013</v>
      </c>
      <c r="F35" s="119">
        <v>2014</v>
      </c>
      <c r="G35" s="120" t="s">
        <v>33</v>
      </c>
      <c r="H35" s="121" t="s">
        <v>24</v>
      </c>
      <c r="I35" s="122" t="s">
        <v>25</v>
      </c>
      <c r="J35" s="123">
        <v>2014</v>
      </c>
    </row>
    <row r="36" spans="1:15" ht="13.5" customHeight="1" x14ac:dyDescent="0.2">
      <c r="B36" s="17" t="s">
        <v>34</v>
      </c>
      <c r="C36" s="18">
        <f>SUM(C6:C13)</f>
        <v>20674.570099965633</v>
      </c>
      <c r="D36" s="18">
        <f>SUM(D6:D13)</f>
        <v>21615.604623450465</v>
      </c>
      <c r="E36" s="18">
        <f>SUM(E6:E13)</f>
        <v>18495.267854468486</v>
      </c>
      <c r="F36" s="18">
        <f>SUM(F6:F13)</f>
        <v>18805.095897231331</v>
      </c>
      <c r="G36" s="133">
        <f t="shared" ref="G36:G41" si="5">(D36/C36-1)*100</f>
        <v>4.5516521936598719</v>
      </c>
      <c r="H36" s="134">
        <f t="shared" ref="H36:H41" si="6">(F36/E36-1)*100</f>
        <v>1.6751746727906358</v>
      </c>
      <c r="I36" s="135">
        <f t="shared" ref="I36:I41" si="7">((D36/C36)/(F36/E36)-1)*100</f>
        <v>2.8290853987969822</v>
      </c>
      <c r="J36" s="129">
        <f t="shared" ref="J36:J41" si="8">(D36/F36)/($D$32/$F$32)*100</f>
        <v>102.17219220032841</v>
      </c>
      <c r="L36" s="131"/>
      <c r="M36" s="131"/>
      <c r="N36" s="131"/>
      <c r="O36" s="136"/>
    </row>
    <row r="37" spans="1:15" ht="13.5" customHeight="1" x14ac:dyDescent="0.2">
      <c r="B37" s="19" t="s">
        <v>35</v>
      </c>
      <c r="C37" s="5">
        <f>SUM(C14:C17)</f>
        <v>7249.5154410171217</v>
      </c>
      <c r="D37" s="5">
        <f>SUM(D14:D17)</f>
        <v>7578.0485913217544</v>
      </c>
      <c r="E37" s="5">
        <f>SUM(E14:E17)</f>
        <v>6602.2420887943881</v>
      </c>
      <c r="F37" s="5">
        <f>SUM(F14:F17)</f>
        <v>6878.2636051343088</v>
      </c>
      <c r="G37" s="133">
        <f t="shared" si="5"/>
        <v>4.5317946141037346</v>
      </c>
      <c r="H37" s="134">
        <f t="shared" si="6"/>
        <v>4.1807239514648487</v>
      </c>
      <c r="I37" s="135">
        <f t="shared" si="7"/>
        <v>0.33698236038601781</v>
      </c>
      <c r="J37" s="129">
        <f t="shared" si="8"/>
        <v>97.930832408109254</v>
      </c>
      <c r="L37" s="131"/>
      <c r="M37" s="131"/>
      <c r="N37" s="131"/>
      <c r="O37" s="136"/>
    </row>
    <row r="38" spans="1:15" ht="13.5" customHeight="1" x14ac:dyDescent="0.2">
      <c r="B38" s="19" t="s">
        <v>36</v>
      </c>
      <c r="C38" s="5">
        <f>SUM(C18:C23)</f>
        <v>12937.568978411251</v>
      </c>
      <c r="D38" s="5">
        <f>SUM(D18:D23)</f>
        <v>13190.128113414416</v>
      </c>
      <c r="E38" s="5">
        <f>SUM(E18:E23)</f>
        <v>11597.478242347159</v>
      </c>
      <c r="F38" s="5">
        <f>SUM(F18:F23)</f>
        <v>11555.529922310763</v>
      </c>
      <c r="G38" s="133">
        <f t="shared" si="5"/>
        <v>1.9521374952636616</v>
      </c>
      <c r="H38" s="134">
        <f t="shared" si="6"/>
        <v>-0.36170208005413818</v>
      </c>
      <c r="I38" s="135">
        <f t="shared" si="7"/>
        <v>2.3222391626730232</v>
      </c>
      <c r="J38" s="129">
        <f t="shared" si="8"/>
        <v>101.46120677596822</v>
      </c>
      <c r="L38" s="131"/>
      <c r="M38" s="131"/>
      <c r="N38" s="131"/>
      <c r="O38" s="136"/>
    </row>
    <row r="39" spans="1:15" ht="13.5" customHeight="1" x14ac:dyDescent="0.2">
      <c r="B39" s="19" t="s">
        <v>37</v>
      </c>
      <c r="C39" s="5">
        <f>SUM(C24:C28)</f>
        <v>12789.919865773569</v>
      </c>
      <c r="D39" s="5">
        <f>SUM(D24:D28)</f>
        <v>13274.506682628704</v>
      </c>
      <c r="E39" s="5">
        <f>SUM(E24:E28)</f>
        <v>11946.456732210405</v>
      </c>
      <c r="F39" s="5">
        <f>SUM(F24:F28)</f>
        <v>11824.768050051276</v>
      </c>
      <c r="G39" s="133">
        <f t="shared" si="5"/>
        <v>3.7888182407765703</v>
      </c>
      <c r="H39" s="134">
        <f t="shared" si="6"/>
        <v>-1.0186173598321302</v>
      </c>
      <c r="I39" s="135">
        <f t="shared" si="7"/>
        <v>4.8569089179986591</v>
      </c>
      <c r="J39" s="129">
        <f t="shared" si="8"/>
        <v>99.78531579790581</v>
      </c>
      <c r="L39" s="131"/>
      <c r="M39" s="131"/>
      <c r="N39" s="131"/>
      <c r="O39" s="136"/>
    </row>
    <row r="40" spans="1:15" ht="13.5" customHeight="1" x14ac:dyDescent="0.2">
      <c r="B40" s="20" t="s">
        <v>38</v>
      </c>
      <c r="C40" s="10">
        <f>+SUM(C29:C31)</f>
        <v>5186.9419556400699</v>
      </c>
      <c r="D40" s="10">
        <f>+SUM(D29:D31)</f>
        <v>5312.2008090305217</v>
      </c>
      <c r="E40" s="10">
        <f>+SUM(E29:E31)</f>
        <v>5260.3808997009091</v>
      </c>
      <c r="F40" s="10">
        <f>+SUM(F29:F31)</f>
        <v>5131.508802697279</v>
      </c>
      <c r="G40" s="146">
        <f t="shared" si="5"/>
        <v>2.4148882802563554</v>
      </c>
      <c r="H40" s="147">
        <f t="shared" si="6"/>
        <v>-2.4498624616889897</v>
      </c>
      <c r="I40" s="148">
        <f t="shared" si="7"/>
        <v>4.9869235089851083</v>
      </c>
      <c r="J40" s="143">
        <f t="shared" si="8"/>
        <v>92.017468585215269</v>
      </c>
      <c r="L40" s="131"/>
      <c r="M40" s="131"/>
      <c r="N40" s="131"/>
      <c r="O40" s="136"/>
    </row>
    <row r="41" spans="1:15" ht="13.5" customHeight="1" x14ac:dyDescent="0.2">
      <c r="B41" s="13" t="s">
        <v>20</v>
      </c>
      <c r="C41" s="22">
        <f>SUM(C36:C40)</f>
        <v>58838.516340807648</v>
      </c>
      <c r="D41" s="138">
        <f>SUM(D36:D40)</f>
        <v>60970.488819845858</v>
      </c>
      <c r="E41" s="139">
        <f>SUM(E36:E40)</f>
        <v>53901.825817521349</v>
      </c>
      <c r="F41" s="139">
        <f>SUM(F36:F40)</f>
        <v>54195.166277424956</v>
      </c>
      <c r="G41" s="140">
        <f t="shared" si="5"/>
        <v>3.6234300448523937</v>
      </c>
      <c r="H41" s="141">
        <f t="shared" si="6"/>
        <v>0.54421247416864826</v>
      </c>
      <c r="I41" s="142">
        <f t="shared" si="7"/>
        <v>3.0625507872716673</v>
      </c>
      <c r="J41" s="143">
        <f t="shared" si="8"/>
        <v>100.00000000000004</v>
      </c>
      <c r="L41" s="131"/>
      <c r="M41" s="131"/>
      <c r="N41" s="131"/>
      <c r="O41" s="136"/>
    </row>
    <row r="42" spans="1:15" ht="13.5" customHeight="1" x14ac:dyDescent="0.2">
      <c r="C42" s="109"/>
    </row>
    <row r="43" spans="1:15" ht="13.5" customHeight="1" x14ac:dyDescent="0.2"/>
    <row r="44" spans="1:15" ht="13.5" customHeight="1" x14ac:dyDescent="0.2"/>
    <row r="45" spans="1:15" ht="13.5" customHeight="1" x14ac:dyDescent="0.2"/>
    <row r="46" spans="1:15" ht="13.5" customHeight="1" x14ac:dyDescent="0.2"/>
    <row r="47" spans="1:15" ht="13.5" customHeight="1" x14ac:dyDescent="0.2"/>
  </sheetData>
  <mergeCells count="6">
    <mergeCell ref="G4:I4"/>
    <mergeCell ref="C4:D4"/>
    <mergeCell ref="E4:F4"/>
    <mergeCell ref="C34:D34"/>
    <mergeCell ref="E34:F34"/>
    <mergeCell ref="G34:I34"/>
  </mergeCells>
  <phoneticPr fontId="0" type="noConversion"/>
  <pageMargins left="0.51181102362204722" right="0.43307086614173229" top="0.51181102362204722" bottom="0.19685039370078741" header="0.23622047244094491" footer="0.23622047244094491"/>
  <pageSetup paperSize="9" scale="79" orientation="landscape" horizontalDpi="300" verticalDpi="300" r:id="rId1"/>
  <headerFooter alignWithMargins="0">
    <oddHeader>&amp;CSide &amp;P /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2.75" x14ac:dyDescent="0.2"/>
  <cols>
    <col min="1" max="16384" width="9.140625" style="52"/>
  </cols>
  <sheetData>
    <row r="1" spans="1:1" x14ac:dyDescent="0.2">
      <c r="A1" s="162" t="s">
        <v>66</v>
      </c>
    </row>
    <row r="2" spans="1:1" x14ac:dyDescent="0.2">
      <c r="A2" s="162" t="s">
        <v>161</v>
      </c>
    </row>
    <row r="3" spans="1:1" x14ac:dyDescent="0.2">
      <c r="A3" s="162" t="s">
        <v>162</v>
      </c>
    </row>
    <row r="4" spans="1:1" x14ac:dyDescent="0.2">
      <c r="A4" s="162" t="s">
        <v>67</v>
      </c>
    </row>
    <row r="5" spans="1:1" x14ac:dyDescent="0.2">
      <c r="A5" s="52" t="s">
        <v>234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6"/>
  <sheetViews>
    <sheetView topLeftCell="B1" workbookViewId="0"/>
  </sheetViews>
  <sheetFormatPr defaultColWidth="11.42578125" defaultRowHeight="11.25" x14ac:dyDescent="0.2"/>
  <cols>
    <col min="1" max="1" width="27" style="260" bestFit="1" customWidth="1"/>
    <col min="2" max="2" width="19" style="260" bestFit="1" customWidth="1"/>
    <col min="3" max="3" width="14" style="260" bestFit="1" customWidth="1"/>
    <col min="4" max="4" width="16" style="260" bestFit="1" customWidth="1"/>
    <col min="5" max="5" width="7" style="260" bestFit="1" customWidth="1"/>
    <col min="6" max="6" width="12.7109375" style="260" customWidth="1"/>
    <col min="7" max="7" width="14" style="260" bestFit="1" customWidth="1"/>
    <col min="8" max="9" width="12" style="260" bestFit="1" customWidth="1"/>
    <col min="10" max="10" width="14" style="260" bestFit="1" customWidth="1"/>
    <col min="11" max="16384" width="11.42578125" style="260"/>
  </cols>
  <sheetData>
    <row r="1" spans="1:10" s="270" customFormat="1" ht="14.25" x14ac:dyDescent="0.2">
      <c r="A1" s="270" t="s">
        <v>113</v>
      </c>
    </row>
    <row r="3" spans="1:10" ht="42.95" customHeight="1" x14ac:dyDescent="0.2">
      <c r="A3" s="283" t="s">
        <v>238</v>
      </c>
      <c r="B3" s="283"/>
      <c r="C3" s="283"/>
      <c r="D3" s="283"/>
      <c r="E3" s="268" t="s">
        <v>68</v>
      </c>
      <c r="F3" s="269" t="s">
        <v>239</v>
      </c>
      <c r="G3" s="269" t="s">
        <v>240</v>
      </c>
      <c r="H3" s="269" t="s">
        <v>241</v>
      </c>
      <c r="I3" s="269" t="s">
        <v>242</v>
      </c>
      <c r="J3" s="268" t="s">
        <v>69</v>
      </c>
    </row>
    <row r="4" spans="1:10" ht="14.1" customHeight="1" x14ac:dyDescent="0.2">
      <c r="A4" s="261" t="s">
        <v>70</v>
      </c>
      <c r="B4" s="261" t="s">
        <v>238</v>
      </c>
      <c r="C4" s="261" t="s">
        <v>238</v>
      </c>
      <c r="D4" s="261" t="s">
        <v>238</v>
      </c>
      <c r="E4" s="281">
        <v>29952</v>
      </c>
      <c r="F4" s="281"/>
      <c r="G4" s="281">
        <v>509554532</v>
      </c>
      <c r="H4" s="281"/>
      <c r="I4" s="281">
        <v>37796997</v>
      </c>
      <c r="J4" s="281">
        <v>471757535</v>
      </c>
    </row>
    <row r="5" spans="1:10" ht="14.1" customHeight="1" x14ac:dyDescent="0.2">
      <c r="A5" s="278" t="s">
        <v>1</v>
      </c>
      <c r="B5" s="278" t="s">
        <v>60</v>
      </c>
      <c r="C5" s="278"/>
      <c r="D5" s="278"/>
      <c r="E5" s="282"/>
      <c r="F5" s="282"/>
      <c r="G5" s="282"/>
      <c r="H5" s="282"/>
      <c r="I5" s="282"/>
      <c r="J5" s="282"/>
    </row>
    <row r="6" spans="1:10" ht="14.1" customHeight="1" x14ac:dyDescent="0.2">
      <c r="A6" s="278"/>
      <c r="B6" s="261" t="s">
        <v>71</v>
      </c>
      <c r="C6" s="261" t="s">
        <v>72</v>
      </c>
      <c r="D6" s="261" t="s">
        <v>73</v>
      </c>
      <c r="E6" s="281">
        <v>11</v>
      </c>
      <c r="F6" s="281">
        <v>11382</v>
      </c>
      <c r="G6" s="281">
        <v>125207</v>
      </c>
      <c r="H6" s="281">
        <v>0</v>
      </c>
      <c r="I6" s="281">
        <v>0</v>
      </c>
      <c r="J6" s="281">
        <v>125207</v>
      </c>
    </row>
    <row r="7" spans="1:10" ht="14.1" customHeight="1" x14ac:dyDescent="0.2">
      <c r="A7" s="278"/>
      <c r="B7" s="279" t="s">
        <v>74</v>
      </c>
      <c r="C7" s="262" t="s">
        <v>75</v>
      </c>
      <c r="D7" s="261" t="s">
        <v>77</v>
      </c>
      <c r="E7" s="282"/>
      <c r="F7" s="282"/>
      <c r="G7" s="282"/>
      <c r="H7" s="282"/>
      <c r="I7" s="282"/>
      <c r="J7" s="282"/>
    </row>
    <row r="8" spans="1:10" ht="42.95" customHeight="1" x14ac:dyDescent="0.2">
      <c r="A8" s="278"/>
      <c r="B8" s="278"/>
      <c r="C8" s="263" t="s">
        <v>243</v>
      </c>
      <c r="D8" s="261" t="s">
        <v>79</v>
      </c>
      <c r="E8" s="264">
        <v>2</v>
      </c>
      <c r="F8" s="264">
        <v>12852</v>
      </c>
      <c r="G8" s="264">
        <v>25703</v>
      </c>
      <c r="H8" s="264">
        <v>2657</v>
      </c>
      <c r="I8" s="264">
        <v>5314</v>
      </c>
      <c r="J8" s="264">
        <v>20389</v>
      </c>
    </row>
    <row r="9" spans="1:10" ht="42.95" customHeight="1" x14ac:dyDescent="0.2">
      <c r="A9" s="278"/>
      <c r="B9" s="278"/>
      <c r="C9" s="263" t="s">
        <v>244</v>
      </c>
      <c r="D9" s="261" t="s">
        <v>79</v>
      </c>
      <c r="E9" s="264">
        <v>71</v>
      </c>
      <c r="F9" s="264">
        <v>12618</v>
      </c>
      <c r="G9" s="264">
        <v>895872</v>
      </c>
      <c r="H9" s="264">
        <v>2430</v>
      </c>
      <c r="I9" s="264">
        <v>172507</v>
      </c>
      <c r="J9" s="264">
        <v>723365</v>
      </c>
    </row>
    <row r="10" spans="1:10" ht="42.95" customHeight="1" x14ac:dyDescent="0.2">
      <c r="A10" s="278"/>
      <c r="B10" s="278"/>
      <c r="C10" s="263" t="s">
        <v>245</v>
      </c>
      <c r="D10" s="261" t="s">
        <v>79</v>
      </c>
      <c r="E10" s="264">
        <v>6658</v>
      </c>
      <c r="F10" s="264">
        <v>12172</v>
      </c>
      <c r="G10" s="264">
        <v>81044152</v>
      </c>
      <c r="H10" s="264">
        <v>1978</v>
      </c>
      <c r="I10" s="264">
        <v>13168472</v>
      </c>
      <c r="J10" s="264">
        <v>67875680</v>
      </c>
    </row>
    <row r="11" spans="1:10" ht="14.1" customHeight="1" x14ac:dyDescent="0.2">
      <c r="A11" s="278"/>
      <c r="B11" s="279" t="s">
        <v>80</v>
      </c>
      <c r="C11" s="280" t="s">
        <v>75</v>
      </c>
      <c r="D11" s="261" t="s">
        <v>81</v>
      </c>
      <c r="E11" s="264">
        <v>364</v>
      </c>
      <c r="F11" s="264">
        <v>22977</v>
      </c>
      <c r="G11" s="264">
        <v>8363511</v>
      </c>
      <c r="H11" s="264">
        <v>3812</v>
      </c>
      <c r="I11" s="264">
        <v>1387410</v>
      </c>
      <c r="J11" s="264">
        <v>6976101</v>
      </c>
    </row>
    <row r="12" spans="1:10" ht="14.1" customHeight="1" x14ac:dyDescent="0.2">
      <c r="A12" s="278"/>
      <c r="B12" s="278"/>
      <c r="C12" s="278"/>
      <c r="D12" s="261" t="s">
        <v>82</v>
      </c>
      <c r="E12" s="264">
        <v>509</v>
      </c>
      <c r="F12" s="264">
        <v>19789</v>
      </c>
      <c r="G12" s="264">
        <v>10072692</v>
      </c>
      <c r="H12" s="264">
        <v>3812</v>
      </c>
      <c r="I12" s="264">
        <v>1940088</v>
      </c>
      <c r="J12" s="264">
        <v>8132604</v>
      </c>
    </row>
    <row r="13" spans="1:10" ht="42.95" customHeight="1" x14ac:dyDescent="0.2">
      <c r="A13" s="278"/>
      <c r="B13" s="277" t="s">
        <v>246</v>
      </c>
      <c r="C13" s="280" t="s">
        <v>75</v>
      </c>
      <c r="D13" s="261" t="s">
        <v>99</v>
      </c>
      <c r="E13" s="264">
        <v>1</v>
      </c>
      <c r="F13" s="264">
        <v>30330</v>
      </c>
      <c r="G13" s="264">
        <v>30330</v>
      </c>
      <c r="H13" s="264">
        <v>0</v>
      </c>
      <c r="I13" s="264">
        <v>0</v>
      </c>
      <c r="J13" s="264">
        <v>30330</v>
      </c>
    </row>
    <row r="14" spans="1:10" ht="14.1" customHeight="1" x14ac:dyDescent="0.2">
      <c r="A14" s="278"/>
      <c r="B14" s="278"/>
      <c r="C14" s="278"/>
      <c r="D14" s="261" t="s">
        <v>91</v>
      </c>
      <c r="E14" s="264">
        <v>1</v>
      </c>
      <c r="F14" s="264">
        <v>18108</v>
      </c>
      <c r="G14" s="264">
        <v>18108</v>
      </c>
      <c r="H14" s="264">
        <v>0</v>
      </c>
      <c r="I14" s="264">
        <v>0</v>
      </c>
      <c r="J14" s="264">
        <v>18108</v>
      </c>
    </row>
    <row r="15" spans="1:10" ht="14.1" customHeight="1" x14ac:dyDescent="0.2">
      <c r="A15" s="278"/>
      <c r="B15" s="278"/>
      <c r="C15" s="278"/>
      <c r="D15" s="261" t="s">
        <v>90</v>
      </c>
      <c r="E15" s="264">
        <v>1</v>
      </c>
      <c r="F15" s="264">
        <v>7696</v>
      </c>
      <c r="G15" s="264">
        <v>7696</v>
      </c>
      <c r="H15" s="264">
        <v>0</v>
      </c>
      <c r="I15" s="264">
        <v>0</v>
      </c>
      <c r="J15" s="264">
        <v>7696</v>
      </c>
    </row>
    <row r="16" spans="1:10" ht="14.1" customHeight="1" x14ac:dyDescent="0.2">
      <c r="A16" s="278"/>
      <c r="B16" s="278"/>
      <c r="C16" s="278"/>
      <c r="D16" s="261" t="s">
        <v>103</v>
      </c>
      <c r="E16" s="264">
        <v>1</v>
      </c>
      <c r="F16" s="264">
        <v>1359</v>
      </c>
      <c r="G16" s="264">
        <v>1359</v>
      </c>
      <c r="H16" s="264">
        <v>0</v>
      </c>
      <c r="I16" s="264">
        <v>0</v>
      </c>
      <c r="J16" s="264">
        <v>1359</v>
      </c>
    </row>
    <row r="17" spans="1:10" ht="14.1" customHeight="1" x14ac:dyDescent="0.2">
      <c r="A17" s="278"/>
      <c r="B17" s="278"/>
      <c r="C17" s="278"/>
      <c r="D17" s="261" t="s">
        <v>76</v>
      </c>
      <c r="E17" s="264">
        <v>1</v>
      </c>
      <c r="F17" s="264">
        <v>36385</v>
      </c>
      <c r="G17" s="264">
        <v>36385</v>
      </c>
      <c r="H17" s="264">
        <v>0</v>
      </c>
      <c r="I17" s="264">
        <v>0</v>
      </c>
      <c r="J17" s="264">
        <v>36385</v>
      </c>
    </row>
    <row r="18" spans="1:10" ht="14.1" customHeight="1" x14ac:dyDescent="0.2">
      <c r="A18" s="278"/>
      <c r="B18" s="278"/>
      <c r="C18" s="278"/>
      <c r="D18" s="261" t="s">
        <v>151</v>
      </c>
      <c r="E18" s="264">
        <v>6</v>
      </c>
      <c r="F18" s="264">
        <v>5752</v>
      </c>
      <c r="G18" s="264">
        <v>34514</v>
      </c>
      <c r="H18" s="264">
        <v>0</v>
      </c>
      <c r="I18" s="264">
        <v>0</v>
      </c>
      <c r="J18" s="264">
        <v>34514</v>
      </c>
    </row>
    <row r="19" spans="1:10" ht="42.95" customHeight="1" x14ac:dyDescent="0.2">
      <c r="A19" s="278"/>
      <c r="B19" s="278"/>
      <c r="C19" s="277" t="s">
        <v>243</v>
      </c>
      <c r="D19" s="261" t="s">
        <v>83</v>
      </c>
      <c r="E19" s="264">
        <v>105</v>
      </c>
      <c r="F19" s="264">
        <v>3452</v>
      </c>
      <c r="G19" s="264">
        <v>362442</v>
      </c>
      <c r="H19" s="264">
        <v>1469</v>
      </c>
      <c r="I19" s="264">
        <v>154263</v>
      </c>
      <c r="J19" s="264">
        <v>208179</v>
      </c>
    </row>
    <row r="20" spans="1:10" ht="14.1" customHeight="1" x14ac:dyDescent="0.2">
      <c r="A20" s="278"/>
      <c r="B20" s="278"/>
      <c r="C20" s="278"/>
      <c r="D20" s="261" t="s">
        <v>86</v>
      </c>
      <c r="E20" s="264">
        <v>1</v>
      </c>
      <c r="F20" s="264">
        <v>19577</v>
      </c>
      <c r="G20" s="264">
        <v>19577</v>
      </c>
      <c r="H20" s="264">
        <v>1469</v>
      </c>
      <c r="I20" s="264">
        <v>1469</v>
      </c>
      <c r="J20" s="264">
        <v>18108</v>
      </c>
    </row>
    <row r="21" spans="1:10" ht="14.1" customHeight="1" x14ac:dyDescent="0.2">
      <c r="A21" s="278"/>
      <c r="B21" s="278"/>
      <c r="C21" s="278"/>
      <c r="D21" s="261" t="s">
        <v>96</v>
      </c>
      <c r="E21" s="264">
        <v>2</v>
      </c>
      <c r="F21" s="264">
        <v>4186</v>
      </c>
      <c r="G21" s="264">
        <v>8372</v>
      </c>
      <c r="H21" s="264">
        <v>1469</v>
      </c>
      <c r="I21" s="264">
        <v>2938</v>
      </c>
      <c r="J21" s="264">
        <v>5434</v>
      </c>
    </row>
    <row r="22" spans="1:10" ht="14.1" customHeight="1" x14ac:dyDescent="0.2">
      <c r="A22" s="278"/>
      <c r="B22" s="278"/>
      <c r="C22" s="278"/>
      <c r="D22" s="261" t="s">
        <v>78</v>
      </c>
      <c r="E22" s="264">
        <v>8</v>
      </c>
      <c r="F22" s="264">
        <v>37855</v>
      </c>
      <c r="G22" s="264">
        <v>302836</v>
      </c>
      <c r="H22" s="264">
        <v>1469</v>
      </c>
      <c r="I22" s="264">
        <v>11753</v>
      </c>
      <c r="J22" s="264">
        <v>291083</v>
      </c>
    </row>
    <row r="23" spans="1:10" ht="14.1" customHeight="1" x14ac:dyDescent="0.2">
      <c r="A23" s="278"/>
      <c r="B23" s="278"/>
      <c r="C23" s="278"/>
      <c r="D23" s="261" t="s">
        <v>152</v>
      </c>
      <c r="E23" s="264">
        <v>46</v>
      </c>
      <c r="F23" s="264">
        <v>28681</v>
      </c>
      <c r="G23" s="264">
        <v>1319331</v>
      </c>
      <c r="H23" s="264">
        <v>1469</v>
      </c>
      <c r="I23" s="264">
        <v>67582</v>
      </c>
      <c r="J23" s="264">
        <v>1251750</v>
      </c>
    </row>
    <row r="24" spans="1:10" ht="14.1" customHeight="1" x14ac:dyDescent="0.2">
      <c r="A24" s="278"/>
      <c r="B24" s="278"/>
      <c r="C24" s="278"/>
      <c r="D24" s="261" t="s">
        <v>153</v>
      </c>
      <c r="E24" s="264">
        <v>16</v>
      </c>
      <c r="F24" s="264">
        <v>5831</v>
      </c>
      <c r="G24" s="264">
        <v>93303</v>
      </c>
      <c r="H24" s="264">
        <v>1469</v>
      </c>
      <c r="I24" s="264">
        <v>23507</v>
      </c>
      <c r="J24" s="264">
        <v>69796</v>
      </c>
    </row>
    <row r="25" spans="1:10" ht="14.1" customHeight="1" x14ac:dyDescent="0.2">
      <c r="A25" s="278"/>
      <c r="B25" s="278"/>
      <c r="C25" s="278"/>
      <c r="D25" s="261" t="s">
        <v>154</v>
      </c>
      <c r="E25" s="264">
        <v>8</v>
      </c>
      <c r="F25" s="264">
        <v>7222</v>
      </c>
      <c r="G25" s="264">
        <v>57773</v>
      </c>
      <c r="H25" s="264">
        <v>1469</v>
      </c>
      <c r="I25" s="264">
        <v>11753</v>
      </c>
      <c r="J25" s="264">
        <v>46019</v>
      </c>
    </row>
    <row r="26" spans="1:10" ht="42.95" customHeight="1" x14ac:dyDescent="0.2">
      <c r="A26" s="278"/>
      <c r="B26" s="278"/>
      <c r="C26" s="277" t="s">
        <v>244</v>
      </c>
      <c r="D26" s="261" t="s">
        <v>78</v>
      </c>
      <c r="E26" s="264">
        <v>8</v>
      </c>
      <c r="F26" s="264">
        <v>37458</v>
      </c>
      <c r="G26" s="264">
        <v>299662</v>
      </c>
      <c r="H26" s="264">
        <v>1242</v>
      </c>
      <c r="I26" s="264">
        <v>9934</v>
      </c>
      <c r="J26" s="264">
        <v>289727</v>
      </c>
    </row>
    <row r="27" spans="1:10" ht="14.1" customHeight="1" x14ac:dyDescent="0.2">
      <c r="A27" s="278"/>
      <c r="B27" s="278"/>
      <c r="C27" s="278"/>
      <c r="D27" s="261" t="s">
        <v>153</v>
      </c>
      <c r="E27" s="264">
        <v>4</v>
      </c>
      <c r="F27" s="264">
        <v>5491</v>
      </c>
      <c r="G27" s="264">
        <v>21964</v>
      </c>
      <c r="H27" s="264">
        <v>1242</v>
      </c>
      <c r="I27" s="264">
        <v>4967</v>
      </c>
      <c r="J27" s="264">
        <v>16997</v>
      </c>
    </row>
    <row r="28" spans="1:10" ht="14.1" customHeight="1" x14ac:dyDescent="0.2">
      <c r="A28" s="278"/>
      <c r="B28" s="278"/>
      <c r="C28" s="278"/>
      <c r="D28" s="261" t="s">
        <v>154</v>
      </c>
      <c r="E28" s="264">
        <v>178</v>
      </c>
      <c r="F28" s="264">
        <v>6827</v>
      </c>
      <c r="G28" s="264">
        <v>1215150</v>
      </c>
      <c r="H28" s="264">
        <v>1242</v>
      </c>
      <c r="I28" s="264">
        <v>221042</v>
      </c>
      <c r="J28" s="264">
        <v>994108</v>
      </c>
    </row>
    <row r="29" spans="1:10" ht="42.95" customHeight="1" x14ac:dyDescent="0.2">
      <c r="A29" s="278"/>
      <c r="B29" s="278"/>
      <c r="C29" s="277" t="s">
        <v>245</v>
      </c>
      <c r="D29" s="261" t="s">
        <v>83</v>
      </c>
      <c r="E29" s="264">
        <v>5566</v>
      </c>
      <c r="F29" s="264">
        <v>2773</v>
      </c>
      <c r="G29" s="264">
        <v>15432513</v>
      </c>
      <c r="H29" s="264">
        <v>790</v>
      </c>
      <c r="I29" s="264">
        <v>4397033</v>
      </c>
      <c r="J29" s="264">
        <v>11035480</v>
      </c>
    </row>
    <row r="30" spans="1:10" ht="14.1" customHeight="1" x14ac:dyDescent="0.2">
      <c r="A30" s="278"/>
      <c r="B30" s="278"/>
      <c r="C30" s="278"/>
      <c r="D30" s="261" t="s">
        <v>92</v>
      </c>
      <c r="E30" s="264">
        <v>301</v>
      </c>
      <c r="F30" s="264">
        <v>31120</v>
      </c>
      <c r="G30" s="264">
        <v>9367248</v>
      </c>
      <c r="H30" s="264">
        <v>790</v>
      </c>
      <c r="I30" s="264">
        <v>237784</v>
      </c>
      <c r="J30" s="264">
        <v>9129463</v>
      </c>
    </row>
    <row r="31" spans="1:10" ht="14.1" customHeight="1" x14ac:dyDescent="0.2">
      <c r="A31" s="278"/>
      <c r="B31" s="278"/>
      <c r="C31" s="278"/>
      <c r="D31" s="261" t="s">
        <v>86</v>
      </c>
      <c r="E31" s="264">
        <v>395</v>
      </c>
      <c r="F31" s="264">
        <v>18898</v>
      </c>
      <c r="G31" s="264">
        <v>7464663</v>
      </c>
      <c r="H31" s="264">
        <v>790</v>
      </c>
      <c r="I31" s="264">
        <v>312042</v>
      </c>
      <c r="J31" s="264">
        <v>7152620</v>
      </c>
    </row>
    <row r="32" spans="1:10" ht="14.1" customHeight="1" x14ac:dyDescent="0.2">
      <c r="A32" s="278"/>
      <c r="B32" s="278"/>
      <c r="C32" s="278"/>
      <c r="D32" s="261" t="s">
        <v>87</v>
      </c>
      <c r="E32" s="264">
        <v>74</v>
      </c>
      <c r="F32" s="264">
        <v>12107</v>
      </c>
      <c r="G32" s="264">
        <v>895913</v>
      </c>
      <c r="H32" s="264">
        <v>790</v>
      </c>
      <c r="I32" s="264">
        <v>58459</v>
      </c>
      <c r="J32" s="264">
        <v>837455</v>
      </c>
    </row>
    <row r="33" spans="1:10" ht="14.1" customHeight="1" x14ac:dyDescent="0.2">
      <c r="A33" s="278"/>
      <c r="B33" s="278"/>
      <c r="C33" s="278"/>
      <c r="D33" s="261" t="s">
        <v>84</v>
      </c>
      <c r="E33" s="264">
        <v>154</v>
      </c>
      <c r="F33" s="264">
        <v>8486</v>
      </c>
      <c r="G33" s="264">
        <v>1306775</v>
      </c>
      <c r="H33" s="264">
        <v>790</v>
      </c>
      <c r="I33" s="264">
        <v>121657</v>
      </c>
      <c r="J33" s="264">
        <v>1185118</v>
      </c>
    </row>
    <row r="34" spans="1:10" ht="14.1" customHeight="1" x14ac:dyDescent="0.2">
      <c r="A34" s="278"/>
      <c r="B34" s="278"/>
      <c r="C34" s="278"/>
      <c r="D34" s="261" t="s">
        <v>85</v>
      </c>
      <c r="E34" s="264">
        <v>44</v>
      </c>
      <c r="F34" s="264">
        <v>5771</v>
      </c>
      <c r="G34" s="264">
        <v>253911</v>
      </c>
      <c r="H34" s="264">
        <v>790</v>
      </c>
      <c r="I34" s="264">
        <v>34759</v>
      </c>
      <c r="J34" s="264">
        <v>219152</v>
      </c>
    </row>
    <row r="35" spans="1:10" ht="14.1" customHeight="1" x14ac:dyDescent="0.2">
      <c r="A35" s="278"/>
      <c r="B35" s="278"/>
      <c r="C35" s="278"/>
      <c r="D35" s="261" t="s">
        <v>96</v>
      </c>
      <c r="E35" s="264">
        <v>162</v>
      </c>
      <c r="F35" s="264">
        <v>3507</v>
      </c>
      <c r="G35" s="264">
        <v>568092</v>
      </c>
      <c r="H35" s="264">
        <v>790</v>
      </c>
      <c r="I35" s="264">
        <v>127977</v>
      </c>
      <c r="J35" s="264">
        <v>440116</v>
      </c>
    </row>
    <row r="36" spans="1:10" ht="14.1" customHeight="1" x14ac:dyDescent="0.2">
      <c r="A36" s="278"/>
      <c r="B36" s="278"/>
      <c r="C36" s="278"/>
      <c r="D36" s="261" t="s">
        <v>88</v>
      </c>
      <c r="E36" s="264">
        <v>17</v>
      </c>
      <c r="F36" s="264">
        <v>2149</v>
      </c>
      <c r="G36" s="264">
        <v>36539</v>
      </c>
      <c r="H36" s="264">
        <v>790</v>
      </c>
      <c r="I36" s="264">
        <v>13430</v>
      </c>
      <c r="J36" s="264">
        <v>23109</v>
      </c>
    </row>
    <row r="37" spans="1:10" ht="14.1" customHeight="1" x14ac:dyDescent="0.2">
      <c r="A37" s="278"/>
      <c r="B37" s="278"/>
      <c r="C37" s="278"/>
      <c r="D37" s="261" t="s">
        <v>78</v>
      </c>
      <c r="E37" s="264">
        <v>7988</v>
      </c>
      <c r="F37" s="264">
        <v>37175</v>
      </c>
      <c r="G37" s="264">
        <v>296956593</v>
      </c>
      <c r="H37" s="264">
        <v>790</v>
      </c>
      <c r="I37" s="264">
        <v>6310366</v>
      </c>
      <c r="J37" s="264">
        <v>290646227</v>
      </c>
    </row>
    <row r="38" spans="1:10" ht="14.1" customHeight="1" x14ac:dyDescent="0.2">
      <c r="A38" s="278"/>
      <c r="B38" s="278"/>
      <c r="C38" s="278"/>
      <c r="D38" s="261" t="s">
        <v>152</v>
      </c>
      <c r="E38" s="264">
        <v>222</v>
      </c>
      <c r="F38" s="264">
        <v>28002</v>
      </c>
      <c r="G38" s="264">
        <v>6216428</v>
      </c>
      <c r="H38" s="264">
        <v>790</v>
      </c>
      <c r="I38" s="264">
        <v>175376</v>
      </c>
      <c r="J38" s="264">
        <v>6041052</v>
      </c>
    </row>
    <row r="39" spans="1:10" ht="14.1" customHeight="1" x14ac:dyDescent="0.2">
      <c r="A39" s="278"/>
      <c r="B39" s="278"/>
      <c r="C39" s="278"/>
      <c r="D39" s="261" t="s">
        <v>153</v>
      </c>
      <c r="E39" s="264">
        <v>43</v>
      </c>
      <c r="F39" s="264">
        <v>5152</v>
      </c>
      <c r="G39" s="264">
        <v>221545</v>
      </c>
      <c r="H39" s="264">
        <v>790</v>
      </c>
      <c r="I39" s="264">
        <v>33969</v>
      </c>
      <c r="J39" s="264">
        <v>187576</v>
      </c>
    </row>
    <row r="40" spans="1:10" ht="14.1" customHeight="1" x14ac:dyDescent="0.2">
      <c r="A40" s="278"/>
      <c r="B40" s="278"/>
      <c r="C40" s="278"/>
      <c r="D40" s="261" t="s">
        <v>154</v>
      </c>
      <c r="E40" s="264">
        <v>4227</v>
      </c>
      <c r="F40" s="264">
        <v>6542</v>
      </c>
      <c r="G40" s="264">
        <v>27654679</v>
      </c>
      <c r="H40" s="264">
        <v>790</v>
      </c>
      <c r="I40" s="264">
        <v>3339249</v>
      </c>
      <c r="J40" s="264">
        <v>24315431</v>
      </c>
    </row>
    <row r="41" spans="1:10" ht="29.1" customHeight="1" x14ac:dyDescent="0.2">
      <c r="A41" s="278"/>
      <c r="B41" s="277" t="s">
        <v>247</v>
      </c>
      <c r="C41" s="280" t="s">
        <v>75</v>
      </c>
      <c r="D41" s="261" t="s">
        <v>91</v>
      </c>
      <c r="E41" s="264">
        <v>1</v>
      </c>
      <c r="F41" s="264">
        <v>18108</v>
      </c>
      <c r="G41" s="264">
        <v>18108</v>
      </c>
      <c r="H41" s="264">
        <v>1188</v>
      </c>
      <c r="I41" s="264">
        <v>1188</v>
      </c>
      <c r="J41" s="264">
        <v>16920</v>
      </c>
    </row>
    <row r="42" spans="1:10" ht="14.1" customHeight="1" x14ac:dyDescent="0.2">
      <c r="A42" s="278"/>
      <c r="B42" s="278"/>
      <c r="C42" s="278"/>
      <c r="D42" s="261" t="s">
        <v>90</v>
      </c>
      <c r="E42" s="264">
        <v>1</v>
      </c>
      <c r="F42" s="264">
        <v>7696</v>
      </c>
      <c r="G42" s="264">
        <v>7696</v>
      </c>
      <c r="H42" s="264">
        <v>1188</v>
      </c>
      <c r="I42" s="264">
        <v>1188</v>
      </c>
      <c r="J42" s="264">
        <v>6508</v>
      </c>
    </row>
    <row r="43" spans="1:10" ht="14.1" customHeight="1" x14ac:dyDescent="0.2">
      <c r="A43" s="278"/>
      <c r="B43" s="278"/>
      <c r="C43" s="278"/>
      <c r="D43" s="261" t="s">
        <v>103</v>
      </c>
      <c r="E43" s="264">
        <v>1</v>
      </c>
      <c r="F43" s="264">
        <v>1359</v>
      </c>
      <c r="G43" s="264">
        <v>1359</v>
      </c>
      <c r="H43" s="264">
        <v>1188</v>
      </c>
      <c r="I43" s="264">
        <v>1188</v>
      </c>
      <c r="J43" s="264">
        <v>171</v>
      </c>
    </row>
    <row r="44" spans="1:10" ht="42.95" customHeight="1" x14ac:dyDescent="0.2">
      <c r="A44" s="278"/>
      <c r="B44" s="278"/>
      <c r="C44" s="263" t="s">
        <v>244</v>
      </c>
      <c r="D44" s="261" t="s">
        <v>84</v>
      </c>
      <c r="E44" s="264">
        <v>3</v>
      </c>
      <c r="F44" s="264">
        <v>8937</v>
      </c>
      <c r="G44" s="264">
        <v>26812</v>
      </c>
      <c r="H44" s="264">
        <v>2430</v>
      </c>
      <c r="I44" s="264">
        <v>7289</v>
      </c>
      <c r="J44" s="264">
        <v>19523</v>
      </c>
    </row>
    <row r="45" spans="1:10" ht="42.95" customHeight="1" x14ac:dyDescent="0.2">
      <c r="A45" s="278"/>
      <c r="B45" s="278"/>
      <c r="C45" s="277" t="s">
        <v>245</v>
      </c>
      <c r="D45" s="261" t="s">
        <v>102</v>
      </c>
      <c r="E45" s="264">
        <v>17</v>
      </c>
      <c r="F45" s="264">
        <v>97664</v>
      </c>
      <c r="G45" s="264">
        <v>1660284</v>
      </c>
      <c r="H45" s="264">
        <v>1978</v>
      </c>
      <c r="I45" s="264">
        <v>33623</v>
      </c>
      <c r="J45" s="264">
        <v>1626661</v>
      </c>
    </row>
    <row r="46" spans="1:10" ht="14.1" customHeight="1" x14ac:dyDescent="0.2">
      <c r="A46" s="278"/>
      <c r="B46" s="278"/>
      <c r="C46" s="278"/>
      <c r="D46" s="261" t="s">
        <v>118</v>
      </c>
      <c r="E46" s="264">
        <v>5</v>
      </c>
      <c r="F46" s="264">
        <v>51490</v>
      </c>
      <c r="G46" s="264">
        <v>257452</v>
      </c>
      <c r="H46" s="264">
        <v>1978</v>
      </c>
      <c r="I46" s="264">
        <v>9889</v>
      </c>
      <c r="J46" s="264">
        <v>247563</v>
      </c>
    </row>
    <row r="47" spans="1:10" ht="14.1" customHeight="1" x14ac:dyDescent="0.2">
      <c r="A47" s="278"/>
      <c r="B47" s="278"/>
      <c r="C47" s="278"/>
      <c r="D47" s="261" t="s">
        <v>92</v>
      </c>
      <c r="E47" s="264">
        <v>410</v>
      </c>
      <c r="F47" s="264">
        <v>31120</v>
      </c>
      <c r="G47" s="264">
        <v>12759374</v>
      </c>
      <c r="H47" s="264">
        <v>1978</v>
      </c>
      <c r="I47" s="264">
        <v>810915</v>
      </c>
      <c r="J47" s="264">
        <v>11948459</v>
      </c>
    </row>
    <row r="48" spans="1:10" ht="14.1" customHeight="1" x14ac:dyDescent="0.2">
      <c r="A48" s="278"/>
      <c r="B48" s="278"/>
      <c r="C48" s="278"/>
      <c r="D48" s="261" t="s">
        <v>86</v>
      </c>
      <c r="E48" s="264">
        <v>484</v>
      </c>
      <c r="F48" s="264">
        <v>18898</v>
      </c>
      <c r="G48" s="264">
        <v>9146574</v>
      </c>
      <c r="H48" s="264">
        <v>1978</v>
      </c>
      <c r="I48" s="264">
        <v>957276</v>
      </c>
      <c r="J48" s="264">
        <v>8189299</v>
      </c>
    </row>
    <row r="49" spans="1:10" ht="14.1" customHeight="1" x14ac:dyDescent="0.2">
      <c r="A49" s="278"/>
      <c r="B49" s="278"/>
      <c r="C49" s="278"/>
      <c r="D49" s="261" t="s">
        <v>87</v>
      </c>
      <c r="E49" s="264">
        <v>68</v>
      </c>
      <c r="F49" s="264">
        <v>12107</v>
      </c>
      <c r="G49" s="264">
        <v>823272</v>
      </c>
      <c r="H49" s="264">
        <v>1978</v>
      </c>
      <c r="I49" s="264">
        <v>134493</v>
      </c>
      <c r="J49" s="264">
        <v>688778</v>
      </c>
    </row>
    <row r="50" spans="1:10" ht="14.1" customHeight="1" x14ac:dyDescent="0.2">
      <c r="A50" s="278"/>
      <c r="B50" s="278"/>
      <c r="C50" s="278"/>
      <c r="D50" s="261" t="s">
        <v>84</v>
      </c>
      <c r="E50" s="264">
        <v>1607</v>
      </c>
      <c r="F50" s="264">
        <v>8486</v>
      </c>
      <c r="G50" s="264">
        <v>13636277</v>
      </c>
      <c r="H50" s="264">
        <v>1978</v>
      </c>
      <c r="I50" s="264">
        <v>3178392</v>
      </c>
      <c r="J50" s="264">
        <v>10457885</v>
      </c>
    </row>
    <row r="51" spans="1:10" ht="14.1" customHeight="1" x14ac:dyDescent="0.2">
      <c r="A51" s="278"/>
      <c r="B51" s="278"/>
      <c r="C51" s="278"/>
      <c r="D51" s="261" t="s">
        <v>85</v>
      </c>
      <c r="E51" s="264">
        <v>39</v>
      </c>
      <c r="F51" s="264">
        <v>5771</v>
      </c>
      <c r="G51" s="264">
        <v>225058</v>
      </c>
      <c r="H51" s="264">
        <v>1978</v>
      </c>
      <c r="I51" s="264">
        <v>77136</v>
      </c>
      <c r="J51" s="264">
        <v>147922</v>
      </c>
    </row>
    <row r="52" spans="1:10" ht="14.1" customHeight="1" x14ac:dyDescent="0.2">
      <c r="A52" s="278"/>
      <c r="B52" s="278"/>
      <c r="C52" s="278"/>
      <c r="D52" s="261" t="s">
        <v>96</v>
      </c>
      <c r="E52" s="264">
        <v>1</v>
      </c>
      <c r="F52" s="264">
        <v>3507</v>
      </c>
      <c r="G52" s="264">
        <v>3507</v>
      </c>
      <c r="H52" s="264">
        <v>1978</v>
      </c>
      <c r="I52" s="264">
        <v>1978</v>
      </c>
      <c r="J52" s="264">
        <v>1529</v>
      </c>
    </row>
    <row r="53" spans="1:10" ht="14.1" customHeight="1" x14ac:dyDescent="0.2">
      <c r="A53" s="278"/>
      <c r="B53" s="278"/>
      <c r="C53" s="278"/>
      <c r="D53" s="261" t="s">
        <v>88</v>
      </c>
      <c r="E53" s="264">
        <v>120</v>
      </c>
      <c r="F53" s="264">
        <v>2149</v>
      </c>
      <c r="G53" s="264">
        <v>257919</v>
      </c>
      <c r="H53" s="264">
        <v>1978</v>
      </c>
      <c r="I53" s="264">
        <v>237341</v>
      </c>
      <c r="J53" s="264">
        <v>20578</v>
      </c>
    </row>
    <row r="54" spans="1:10" ht="42.95" customHeight="1" x14ac:dyDescent="0.2">
      <c r="A54" s="277" t="s">
        <v>257</v>
      </c>
      <c r="B54" s="278" t="s">
        <v>60</v>
      </c>
      <c r="C54" s="278"/>
      <c r="D54" s="278"/>
      <c r="E54" s="264">
        <v>8318</v>
      </c>
      <c r="F54" s="264"/>
      <c r="G54" s="264">
        <v>121742841</v>
      </c>
      <c r="H54" s="264">
        <v>20560</v>
      </c>
      <c r="I54" s="264"/>
      <c r="J54" s="264">
        <v>113906268</v>
      </c>
    </row>
    <row r="55" spans="1:10" ht="14.1" customHeight="1" x14ac:dyDescent="0.2">
      <c r="A55" s="278"/>
      <c r="B55" s="261" t="s">
        <v>71</v>
      </c>
      <c r="C55" s="261" t="s">
        <v>72</v>
      </c>
      <c r="D55" s="261" t="s">
        <v>73</v>
      </c>
      <c r="E55" s="281">
        <v>8</v>
      </c>
      <c r="F55" s="281">
        <v>11382</v>
      </c>
      <c r="G55" s="281">
        <v>91060</v>
      </c>
      <c r="H55" s="281">
        <v>0</v>
      </c>
      <c r="I55" s="281">
        <v>0</v>
      </c>
      <c r="J55" s="281">
        <v>91060</v>
      </c>
    </row>
    <row r="56" spans="1:10" ht="14.1" customHeight="1" x14ac:dyDescent="0.2">
      <c r="A56" s="278"/>
      <c r="B56" s="279" t="s">
        <v>74</v>
      </c>
      <c r="C56" s="262" t="s">
        <v>75</v>
      </c>
      <c r="D56" s="261" t="s">
        <v>77</v>
      </c>
      <c r="E56" s="282"/>
      <c r="F56" s="282"/>
      <c r="G56" s="282"/>
      <c r="H56" s="282"/>
      <c r="I56" s="282"/>
      <c r="J56" s="282"/>
    </row>
    <row r="57" spans="1:10" ht="42.95" customHeight="1" x14ac:dyDescent="0.2">
      <c r="A57" s="278"/>
      <c r="B57" s="278"/>
      <c r="C57" s="263" t="s">
        <v>243</v>
      </c>
      <c r="D57" s="261" t="s">
        <v>79</v>
      </c>
      <c r="E57" s="264">
        <v>16</v>
      </c>
      <c r="F57" s="264">
        <v>12852</v>
      </c>
      <c r="G57" s="264">
        <v>205626</v>
      </c>
      <c r="H57" s="264">
        <v>2657</v>
      </c>
      <c r="I57" s="264">
        <v>42513</v>
      </c>
      <c r="J57" s="264">
        <v>163114</v>
      </c>
    </row>
    <row r="58" spans="1:10" ht="42.95" customHeight="1" x14ac:dyDescent="0.2">
      <c r="A58" s="278"/>
      <c r="B58" s="278"/>
      <c r="C58" s="263" t="s">
        <v>245</v>
      </c>
      <c r="D58" s="261" t="s">
        <v>79</v>
      </c>
      <c r="E58" s="264">
        <v>1030</v>
      </c>
      <c r="F58" s="264">
        <v>12172</v>
      </c>
      <c r="G58" s="264">
        <v>12537620</v>
      </c>
      <c r="H58" s="264">
        <v>1978</v>
      </c>
      <c r="I58" s="264">
        <v>2037177</v>
      </c>
      <c r="J58" s="264">
        <v>10500443</v>
      </c>
    </row>
    <row r="59" spans="1:10" ht="42.95" customHeight="1" x14ac:dyDescent="0.2">
      <c r="A59" s="278"/>
      <c r="B59" s="277" t="s">
        <v>246</v>
      </c>
      <c r="C59" s="280" t="s">
        <v>75</v>
      </c>
      <c r="D59" s="261" t="s">
        <v>91</v>
      </c>
      <c r="E59" s="264">
        <v>2</v>
      </c>
      <c r="F59" s="264">
        <v>18108</v>
      </c>
      <c r="G59" s="264">
        <v>36216</v>
      </c>
      <c r="H59" s="264">
        <v>0</v>
      </c>
      <c r="I59" s="264">
        <v>0</v>
      </c>
      <c r="J59" s="264">
        <v>36216</v>
      </c>
    </row>
    <row r="60" spans="1:10" ht="14.1" customHeight="1" x14ac:dyDescent="0.2">
      <c r="A60" s="278"/>
      <c r="B60" s="278"/>
      <c r="C60" s="278"/>
      <c r="D60" s="261" t="s">
        <v>90</v>
      </c>
      <c r="E60" s="264">
        <v>1</v>
      </c>
      <c r="F60" s="264">
        <v>7696</v>
      </c>
      <c r="G60" s="264">
        <v>7696</v>
      </c>
      <c r="H60" s="264">
        <v>0</v>
      </c>
      <c r="I60" s="264">
        <v>0</v>
      </c>
      <c r="J60" s="264">
        <v>7696</v>
      </c>
    </row>
    <row r="61" spans="1:10" ht="14.1" customHeight="1" x14ac:dyDescent="0.2">
      <c r="A61" s="278"/>
      <c r="B61" s="278"/>
      <c r="C61" s="278"/>
      <c r="D61" s="261" t="s">
        <v>76</v>
      </c>
      <c r="E61" s="264">
        <v>2</v>
      </c>
      <c r="F61" s="264">
        <v>36385</v>
      </c>
      <c r="G61" s="264">
        <v>72771</v>
      </c>
      <c r="H61" s="264">
        <v>0</v>
      </c>
      <c r="I61" s="264">
        <v>0</v>
      </c>
      <c r="J61" s="264">
        <v>72771</v>
      </c>
    </row>
    <row r="62" spans="1:10" ht="42.95" customHeight="1" x14ac:dyDescent="0.2">
      <c r="A62" s="278"/>
      <c r="B62" s="278"/>
      <c r="C62" s="277" t="s">
        <v>243</v>
      </c>
      <c r="D62" s="261" t="s">
        <v>83</v>
      </c>
      <c r="E62" s="264">
        <v>3</v>
      </c>
      <c r="F62" s="264">
        <v>3452</v>
      </c>
      <c r="G62" s="264">
        <v>10355</v>
      </c>
      <c r="H62" s="264">
        <v>1469</v>
      </c>
      <c r="I62" s="264">
        <v>4408</v>
      </c>
      <c r="J62" s="264">
        <v>5948</v>
      </c>
    </row>
    <row r="63" spans="1:10" ht="14.1" customHeight="1" x14ac:dyDescent="0.2">
      <c r="A63" s="278"/>
      <c r="B63" s="278"/>
      <c r="C63" s="278"/>
      <c r="D63" s="261" t="s">
        <v>86</v>
      </c>
      <c r="E63" s="264">
        <v>6</v>
      </c>
      <c r="F63" s="264">
        <v>19577</v>
      </c>
      <c r="G63" s="264">
        <v>117462</v>
      </c>
      <c r="H63" s="264">
        <v>1469</v>
      </c>
      <c r="I63" s="264">
        <v>8815</v>
      </c>
      <c r="J63" s="264">
        <v>108647</v>
      </c>
    </row>
    <row r="64" spans="1:10" ht="14.1" customHeight="1" x14ac:dyDescent="0.2">
      <c r="A64" s="278"/>
      <c r="B64" s="278"/>
      <c r="C64" s="278"/>
      <c r="D64" s="261" t="s">
        <v>84</v>
      </c>
      <c r="E64" s="264">
        <v>5</v>
      </c>
      <c r="F64" s="264">
        <v>9165</v>
      </c>
      <c r="G64" s="264">
        <v>45824</v>
      </c>
      <c r="H64" s="264">
        <v>1469</v>
      </c>
      <c r="I64" s="264">
        <v>7346</v>
      </c>
      <c r="J64" s="264">
        <v>38478</v>
      </c>
    </row>
    <row r="65" spans="1:10" ht="14.1" customHeight="1" x14ac:dyDescent="0.2">
      <c r="A65" s="278"/>
      <c r="B65" s="278"/>
      <c r="C65" s="278"/>
      <c r="D65" s="261" t="s">
        <v>96</v>
      </c>
      <c r="E65" s="264">
        <v>1</v>
      </c>
      <c r="F65" s="264">
        <v>4186</v>
      </c>
      <c r="G65" s="264">
        <v>4186</v>
      </c>
      <c r="H65" s="264">
        <v>1469</v>
      </c>
      <c r="I65" s="264">
        <v>1469</v>
      </c>
      <c r="J65" s="264">
        <v>2717</v>
      </c>
    </row>
    <row r="66" spans="1:10" ht="14.1" customHeight="1" x14ac:dyDescent="0.2">
      <c r="A66" s="278"/>
      <c r="B66" s="278"/>
      <c r="C66" s="278"/>
      <c r="D66" s="261" t="s">
        <v>78</v>
      </c>
      <c r="E66" s="264">
        <v>1</v>
      </c>
      <c r="F66" s="264">
        <v>37855</v>
      </c>
      <c r="G66" s="264">
        <v>37855</v>
      </c>
      <c r="H66" s="264">
        <v>1469</v>
      </c>
      <c r="I66" s="264">
        <v>1469</v>
      </c>
      <c r="J66" s="264">
        <v>36385</v>
      </c>
    </row>
    <row r="67" spans="1:10" ht="14.1" customHeight="1" x14ac:dyDescent="0.2">
      <c r="A67" s="278"/>
      <c r="B67" s="278"/>
      <c r="C67" s="278"/>
      <c r="D67" s="261" t="s">
        <v>153</v>
      </c>
      <c r="E67" s="264">
        <v>17</v>
      </c>
      <c r="F67" s="264">
        <v>5831</v>
      </c>
      <c r="G67" s="264">
        <v>99134</v>
      </c>
      <c r="H67" s="264">
        <v>1469</v>
      </c>
      <c r="I67" s="264">
        <v>24976</v>
      </c>
      <c r="J67" s="264">
        <v>74158</v>
      </c>
    </row>
    <row r="68" spans="1:10" ht="42.95" customHeight="1" x14ac:dyDescent="0.2">
      <c r="A68" s="278"/>
      <c r="B68" s="278"/>
      <c r="C68" s="277" t="s">
        <v>245</v>
      </c>
      <c r="D68" s="261" t="s">
        <v>83</v>
      </c>
      <c r="E68" s="264">
        <v>12</v>
      </c>
      <c r="F68" s="264">
        <v>2773</v>
      </c>
      <c r="G68" s="264">
        <v>33272</v>
      </c>
      <c r="H68" s="264">
        <v>790</v>
      </c>
      <c r="I68" s="264">
        <v>9480</v>
      </c>
      <c r="J68" s="264">
        <v>23792</v>
      </c>
    </row>
    <row r="69" spans="1:10" ht="14.1" customHeight="1" x14ac:dyDescent="0.2">
      <c r="A69" s="278"/>
      <c r="B69" s="278"/>
      <c r="C69" s="278"/>
      <c r="D69" s="261" t="s">
        <v>92</v>
      </c>
      <c r="E69" s="264">
        <v>843</v>
      </c>
      <c r="F69" s="264">
        <v>31120</v>
      </c>
      <c r="G69" s="264">
        <v>26234517</v>
      </c>
      <c r="H69" s="264">
        <v>790</v>
      </c>
      <c r="I69" s="264">
        <v>665954</v>
      </c>
      <c r="J69" s="264">
        <v>25568564</v>
      </c>
    </row>
    <row r="70" spans="1:10" ht="14.1" customHeight="1" x14ac:dyDescent="0.2">
      <c r="A70" s="278"/>
      <c r="B70" s="278"/>
      <c r="C70" s="278"/>
      <c r="D70" s="261" t="s">
        <v>86</v>
      </c>
      <c r="E70" s="264">
        <v>2511</v>
      </c>
      <c r="F70" s="264">
        <v>18898</v>
      </c>
      <c r="G70" s="264">
        <v>47452578</v>
      </c>
      <c r="H70" s="264">
        <v>790</v>
      </c>
      <c r="I70" s="264">
        <v>1983642</v>
      </c>
      <c r="J70" s="264">
        <v>45468936</v>
      </c>
    </row>
    <row r="71" spans="1:10" ht="14.1" customHeight="1" x14ac:dyDescent="0.2">
      <c r="A71" s="278"/>
      <c r="B71" s="278"/>
      <c r="C71" s="278"/>
      <c r="D71" s="261" t="s">
        <v>87</v>
      </c>
      <c r="E71" s="264">
        <v>101</v>
      </c>
      <c r="F71" s="264">
        <v>12107</v>
      </c>
      <c r="G71" s="264">
        <v>1222801</v>
      </c>
      <c r="H71" s="264">
        <v>790</v>
      </c>
      <c r="I71" s="264">
        <v>79788</v>
      </c>
      <c r="J71" s="264">
        <v>1143013</v>
      </c>
    </row>
    <row r="72" spans="1:10" ht="14.1" customHeight="1" x14ac:dyDescent="0.2">
      <c r="A72" s="278"/>
      <c r="B72" s="278"/>
      <c r="C72" s="278"/>
      <c r="D72" s="261" t="s">
        <v>84</v>
      </c>
      <c r="E72" s="264">
        <v>783</v>
      </c>
      <c r="F72" s="264">
        <v>8486</v>
      </c>
      <c r="G72" s="264">
        <v>6644185</v>
      </c>
      <c r="H72" s="264">
        <v>790</v>
      </c>
      <c r="I72" s="264">
        <v>618555</v>
      </c>
      <c r="J72" s="264">
        <v>6025630</v>
      </c>
    </row>
    <row r="73" spans="1:10" ht="14.1" customHeight="1" x14ac:dyDescent="0.2">
      <c r="A73" s="278"/>
      <c r="B73" s="278"/>
      <c r="C73" s="278"/>
      <c r="D73" s="261" t="s">
        <v>96</v>
      </c>
      <c r="E73" s="264">
        <v>19</v>
      </c>
      <c r="F73" s="264">
        <v>3507</v>
      </c>
      <c r="G73" s="264">
        <v>66628</v>
      </c>
      <c r="H73" s="264">
        <v>790</v>
      </c>
      <c r="I73" s="264">
        <v>15010</v>
      </c>
      <c r="J73" s="264">
        <v>51618</v>
      </c>
    </row>
    <row r="74" spans="1:10" ht="14.1" customHeight="1" x14ac:dyDescent="0.2">
      <c r="A74" s="278"/>
      <c r="B74" s="278"/>
      <c r="C74" s="278"/>
      <c r="D74" s="261" t="s">
        <v>78</v>
      </c>
      <c r="E74" s="264">
        <v>357</v>
      </c>
      <c r="F74" s="264">
        <v>37175</v>
      </c>
      <c r="G74" s="264">
        <v>13271595</v>
      </c>
      <c r="H74" s="264">
        <v>790</v>
      </c>
      <c r="I74" s="264">
        <v>282023</v>
      </c>
      <c r="J74" s="264">
        <v>12989572</v>
      </c>
    </row>
    <row r="75" spans="1:10" ht="14.1" customHeight="1" x14ac:dyDescent="0.2">
      <c r="A75" s="278"/>
      <c r="B75" s="278"/>
      <c r="C75" s="278"/>
      <c r="D75" s="261" t="s">
        <v>153</v>
      </c>
      <c r="E75" s="264">
        <v>2488</v>
      </c>
      <c r="F75" s="264">
        <v>5152</v>
      </c>
      <c r="G75" s="264">
        <v>12818713</v>
      </c>
      <c r="H75" s="264">
        <v>790</v>
      </c>
      <c r="I75" s="264">
        <v>1965472</v>
      </c>
      <c r="J75" s="264">
        <v>10853241</v>
      </c>
    </row>
    <row r="76" spans="1:10" ht="14.1" customHeight="1" x14ac:dyDescent="0.2">
      <c r="A76" s="278"/>
      <c r="B76" s="278"/>
      <c r="C76" s="278"/>
      <c r="D76" s="261" t="s">
        <v>154</v>
      </c>
      <c r="E76" s="264">
        <v>112</v>
      </c>
      <c r="F76" s="264">
        <v>6542</v>
      </c>
      <c r="G76" s="264">
        <v>732748</v>
      </c>
      <c r="H76" s="264">
        <v>790</v>
      </c>
      <c r="I76" s="264">
        <v>88478</v>
      </c>
      <c r="J76" s="264">
        <v>644270</v>
      </c>
    </row>
    <row r="77" spans="1:10" ht="29.1" customHeight="1" x14ac:dyDescent="0.2">
      <c r="A77" s="277" t="s">
        <v>258</v>
      </c>
      <c r="B77" s="278" t="s">
        <v>60</v>
      </c>
      <c r="C77" s="278"/>
      <c r="D77" s="278"/>
      <c r="E77" s="264">
        <v>6452</v>
      </c>
      <c r="F77" s="264"/>
      <c r="G77" s="264">
        <v>48867319</v>
      </c>
      <c r="H77" s="264">
        <v>13046</v>
      </c>
      <c r="I77" s="264"/>
      <c r="J77" s="264">
        <v>43572990</v>
      </c>
    </row>
    <row r="78" spans="1:10" ht="14.1" customHeight="1" x14ac:dyDescent="0.2">
      <c r="A78" s="278"/>
      <c r="B78" s="261" t="s">
        <v>71</v>
      </c>
      <c r="C78" s="261" t="s">
        <v>72</v>
      </c>
      <c r="D78" s="261" t="s">
        <v>73</v>
      </c>
      <c r="E78" s="281">
        <v>2</v>
      </c>
      <c r="F78" s="281">
        <v>11382</v>
      </c>
      <c r="G78" s="281">
        <v>22765</v>
      </c>
      <c r="H78" s="281">
        <v>0</v>
      </c>
      <c r="I78" s="281">
        <v>0</v>
      </c>
      <c r="J78" s="281">
        <v>22765</v>
      </c>
    </row>
    <row r="79" spans="1:10" ht="14.1" customHeight="1" x14ac:dyDescent="0.2">
      <c r="A79" s="278"/>
      <c r="B79" s="279" t="s">
        <v>74</v>
      </c>
      <c r="C79" s="262" t="s">
        <v>75</v>
      </c>
      <c r="D79" s="261" t="s">
        <v>77</v>
      </c>
      <c r="E79" s="282"/>
      <c r="F79" s="282"/>
      <c r="G79" s="282"/>
      <c r="H79" s="282"/>
      <c r="I79" s="282"/>
      <c r="J79" s="282"/>
    </row>
    <row r="80" spans="1:10" ht="42.95" customHeight="1" x14ac:dyDescent="0.2">
      <c r="A80" s="278"/>
      <c r="B80" s="278"/>
      <c r="C80" s="263" t="s">
        <v>245</v>
      </c>
      <c r="D80" s="261" t="s">
        <v>79</v>
      </c>
      <c r="E80" s="264">
        <v>125</v>
      </c>
      <c r="F80" s="264">
        <v>12172</v>
      </c>
      <c r="G80" s="264">
        <v>1521556</v>
      </c>
      <c r="H80" s="264">
        <v>1978</v>
      </c>
      <c r="I80" s="264">
        <v>247230</v>
      </c>
      <c r="J80" s="264">
        <v>1274326</v>
      </c>
    </row>
    <row r="81" spans="1:10" ht="42.95" customHeight="1" x14ac:dyDescent="0.2">
      <c r="A81" s="278"/>
      <c r="B81" s="277" t="s">
        <v>246</v>
      </c>
      <c r="C81" s="280" t="s">
        <v>75</v>
      </c>
      <c r="D81" s="261" t="s">
        <v>91</v>
      </c>
      <c r="E81" s="264">
        <v>3</v>
      </c>
      <c r="F81" s="264">
        <v>18108</v>
      </c>
      <c r="G81" s="264">
        <v>54324</v>
      </c>
      <c r="H81" s="264">
        <v>0</v>
      </c>
      <c r="I81" s="264">
        <v>0</v>
      </c>
      <c r="J81" s="264">
        <v>54324</v>
      </c>
    </row>
    <row r="82" spans="1:10" ht="14.1" customHeight="1" x14ac:dyDescent="0.2">
      <c r="A82" s="278"/>
      <c r="B82" s="278"/>
      <c r="C82" s="278"/>
      <c r="D82" s="261" t="s">
        <v>76</v>
      </c>
      <c r="E82" s="264">
        <v>3</v>
      </c>
      <c r="F82" s="264">
        <v>36385</v>
      </c>
      <c r="G82" s="264">
        <v>109156</v>
      </c>
      <c r="H82" s="264">
        <v>0</v>
      </c>
      <c r="I82" s="264">
        <v>0</v>
      </c>
      <c r="J82" s="264">
        <v>109156</v>
      </c>
    </row>
    <row r="83" spans="1:10" ht="42.95" customHeight="1" x14ac:dyDescent="0.2">
      <c r="A83" s="278"/>
      <c r="B83" s="278"/>
      <c r="C83" s="277" t="s">
        <v>243</v>
      </c>
      <c r="D83" s="261" t="s">
        <v>83</v>
      </c>
      <c r="E83" s="264">
        <v>48</v>
      </c>
      <c r="F83" s="264">
        <v>3452</v>
      </c>
      <c r="G83" s="264">
        <v>165688</v>
      </c>
      <c r="H83" s="264">
        <v>1469</v>
      </c>
      <c r="I83" s="264">
        <v>70520</v>
      </c>
      <c r="J83" s="264">
        <v>95168</v>
      </c>
    </row>
    <row r="84" spans="1:10" ht="14.1" customHeight="1" x14ac:dyDescent="0.2">
      <c r="A84" s="278"/>
      <c r="B84" s="278"/>
      <c r="C84" s="278"/>
      <c r="D84" s="261" t="s">
        <v>92</v>
      </c>
      <c r="E84" s="264">
        <v>1</v>
      </c>
      <c r="F84" s="264">
        <v>31800</v>
      </c>
      <c r="G84" s="264">
        <v>31800</v>
      </c>
      <c r="H84" s="264">
        <v>1469</v>
      </c>
      <c r="I84" s="264">
        <v>1469</v>
      </c>
      <c r="J84" s="264">
        <v>30330</v>
      </c>
    </row>
    <row r="85" spans="1:10" ht="14.1" customHeight="1" x14ac:dyDescent="0.2">
      <c r="A85" s="278"/>
      <c r="B85" s="278"/>
      <c r="C85" s="278"/>
      <c r="D85" s="261" t="s">
        <v>86</v>
      </c>
      <c r="E85" s="264">
        <v>5</v>
      </c>
      <c r="F85" s="264">
        <v>19577</v>
      </c>
      <c r="G85" s="264">
        <v>97885</v>
      </c>
      <c r="H85" s="264">
        <v>1469</v>
      </c>
      <c r="I85" s="264">
        <v>7346</v>
      </c>
      <c r="J85" s="264">
        <v>90539</v>
      </c>
    </row>
    <row r="86" spans="1:10" ht="14.1" customHeight="1" x14ac:dyDescent="0.2">
      <c r="A86" s="278"/>
      <c r="B86" s="278"/>
      <c r="C86" s="278"/>
      <c r="D86" s="261" t="s">
        <v>78</v>
      </c>
      <c r="E86" s="264">
        <v>6</v>
      </c>
      <c r="F86" s="264">
        <v>37855</v>
      </c>
      <c r="G86" s="264">
        <v>227127</v>
      </c>
      <c r="H86" s="264">
        <v>1469</v>
      </c>
      <c r="I86" s="264">
        <v>8815</v>
      </c>
      <c r="J86" s="264">
        <v>218312</v>
      </c>
    </row>
    <row r="87" spans="1:10" ht="42.95" customHeight="1" x14ac:dyDescent="0.2">
      <c r="A87" s="278"/>
      <c r="B87" s="278"/>
      <c r="C87" s="263" t="s">
        <v>244</v>
      </c>
      <c r="D87" s="261" t="s">
        <v>83</v>
      </c>
      <c r="E87" s="264">
        <v>32</v>
      </c>
      <c r="F87" s="264">
        <v>3083</v>
      </c>
      <c r="G87" s="264">
        <v>98665</v>
      </c>
      <c r="H87" s="264">
        <v>1242</v>
      </c>
      <c r="I87" s="264">
        <v>39738</v>
      </c>
      <c r="J87" s="264">
        <v>58927</v>
      </c>
    </row>
    <row r="88" spans="1:10" ht="42.95" customHeight="1" x14ac:dyDescent="0.2">
      <c r="A88" s="278"/>
      <c r="B88" s="278"/>
      <c r="C88" s="277" t="s">
        <v>245</v>
      </c>
      <c r="D88" s="261" t="s">
        <v>83</v>
      </c>
      <c r="E88" s="264">
        <v>4907</v>
      </c>
      <c r="F88" s="264">
        <v>2773</v>
      </c>
      <c r="G88" s="264">
        <v>13605343</v>
      </c>
      <c r="H88" s="264">
        <v>790</v>
      </c>
      <c r="I88" s="264">
        <v>3876435</v>
      </c>
      <c r="J88" s="264">
        <v>9728908</v>
      </c>
    </row>
    <row r="89" spans="1:10" ht="14.1" customHeight="1" x14ac:dyDescent="0.2">
      <c r="A89" s="278"/>
      <c r="B89" s="278"/>
      <c r="C89" s="278"/>
      <c r="D89" s="261" t="s">
        <v>92</v>
      </c>
      <c r="E89" s="264">
        <v>3</v>
      </c>
      <c r="F89" s="264">
        <v>31120</v>
      </c>
      <c r="G89" s="264">
        <v>93361</v>
      </c>
      <c r="H89" s="264">
        <v>790</v>
      </c>
      <c r="I89" s="264">
        <v>2370</v>
      </c>
      <c r="J89" s="264">
        <v>90991</v>
      </c>
    </row>
    <row r="90" spans="1:10" ht="14.1" customHeight="1" x14ac:dyDescent="0.2">
      <c r="A90" s="278"/>
      <c r="B90" s="278"/>
      <c r="C90" s="278"/>
      <c r="D90" s="261" t="s">
        <v>86</v>
      </c>
      <c r="E90" s="264">
        <v>860</v>
      </c>
      <c r="F90" s="264">
        <v>18898</v>
      </c>
      <c r="G90" s="264">
        <v>16252177</v>
      </c>
      <c r="H90" s="264">
        <v>790</v>
      </c>
      <c r="I90" s="264">
        <v>679383</v>
      </c>
      <c r="J90" s="264">
        <v>15572794</v>
      </c>
    </row>
    <row r="91" spans="1:10" ht="14.1" customHeight="1" x14ac:dyDescent="0.2">
      <c r="A91" s="278"/>
      <c r="B91" s="278"/>
      <c r="C91" s="278"/>
      <c r="D91" s="261" t="s">
        <v>84</v>
      </c>
      <c r="E91" s="264">
        <v>14</v>
      </c>
      <c r="F91" s="264">
        <v>8486</v>
      </c>
      <c r="G91" s="264">
        <v>118798</v>
      </c>
      <c r="H91" s="264">
        <v>790</v>
      </c>
      <c r="I91" s="264">
        <v>11060</v>
      </c>
      <c r="J91" s="264">
        <v>107738</v>
      </c>
    </row>
    <row r="92" spans="1:10" ht="14.1" customHeight="1" x14ac:dyDescent="0.2">
      <c r="A92" s="278"/>
      <c r="B92" s="278"/>
      <c r="C92" s="278"/>
      <c r="D92" s="261" t="s">
        <v>78</v>
      </c>
      <c r="E92" s="264">
        <v>443</v>
      </c>
      <c r="F92" s="264">
        <v>37175</v>
      </c>
      <c r="G92" s="264">
        <v>16468674</v>
      </c>
      <c r="H92" s="264">
        <v>790</v>
      </c>
      <c r="I92" s="264">
        <v>349961</v>
      </c>
      <c r="J92" s="264">
        <v>16118713</v>
      </c>
    </row>
    <row r="93" spans="1:10" ht="14.1" customHeight="1" x14ac:dyDescent="0.2">
      <c r="A93" s="278" t="s">
        <v>2</v>
      </c>
      <c r="B93" s="278" t="s">
        <v>60</v>
      </c>
      <c r="C93" s="278"/>
      <c r="D93" s="278"/>
      <c r="E93" s="264">
        <v>8425</v>
      </c>
      <c r="F93" s="264"/>
      <c r="G93" s="264">
        <v>133777611</v>
      </c>
      <c r="H93" s="264">
        <v>28241</v>
      </c>
      <c r="I93" s="264"/>
      <c r="J93" s="264">
        <v>125606800</v>
      </c>
    </row>
    <row r="94" spans="1:10" ht="14.1" customHeight="1" x14ac:dyDescent="0.2">
      <c r="A94" s="278"/>
      <c r="B94" s="261" t="s">
        <v>71</v>
      </c>
      <c r="C94" s="261" t="s">
        <v>72</v>
      </c>
      <c r="D94" s="261" t="s">
        <v>73</v>
      </c>
      <c r="E94" s="281">
        <v>4</v>
      </c>
      <c r="F94" s="281">
        <v>12852</v>
      </c>
      <c r="G94" s="281">
        <v>51407</v>
      </c>
      <c r="H94" s="281">
        <v>2657</v>
      </c>
      <c r="I94" s="281">
        <v>10628</v>
      </c>
      <c r="J94" s="281">
        <v>40778</v>
      </c>
    </row>
    <row r="95" spans="1:10" ht="42.95" customHeight="1" x14ac:dyDescent="0.2">
      <c r="A95" s="278"/>
      <c r="B95" s="279" t="s">
        <v>74</v>
      </c>
      <c r="C95" s="263" t="s">
        <v>243</v>
      </c>
      <c r="D95" s="261" t="s">
        <v>79</v>
      </c>
      <c r="E95" s="282"/>
      <c r="F95" s="282"/>
      <c r="G95" s="282"/>
      <c r="H95" s="282"/>
      <c r="I95" s="282"/>
      <c r="J95" s="282"/>
    </row>
    <row r="96" spans="1:10" ht="42.95" customHeight="1" x14ac:dyDescent="0.2">
      <c r="A96" s="278"/>
      <c r="B96" s="278"/>
      <c r="C96" s="263" t="s">
        <v>245</v>
      </c>
      <c r="D96" s="261" t="s">
        <v>79</v>
      </c>
      <c r="E96" s="264">
        <v>1187</v>
      </c>
      <c r="F96" s="264">
        <v>12172</v>
      </c>
      <c r="G96" s="264">
        <v>14448695</v>
      </c>
      <c r="H96" s="264">
        <v>1978</v>
      </c>
      <c r="I96" s="264">
        <v>2347698</v>
      </c>
      <c r="J96" s="264">
        <v>12100996</v>
      </c>
    </row>
    <row r="97" spans="1:10" ht="42.95" customHeight="1" x14ac:dyDescent="0.2">
      <c r="A97" s="278"/>
      <c r="B97" s="277" t="s">
        <v>246</v>
      </c>
      <c r="C97" s="280" t="s">
        <v>75</v>
      </c>
      <c r="D97" s="261" t="s">
        <v>91</v>
      </c>
      <c r="E97" s="264">
        <v>2</v>
      </c>
      <c r="F97" s="264">
        <v>18108</v>
      </c>
      <c r="G97" s="264">
        <v>36216</v>
      </c>
      <c r="H97" s="264">
        <v>0</v>
      </c>
      <c r="I97" s="264">
        <v>0</v>
      </c>
      <c r="J97" s="264">
        <v>36216</v>
      </c>
    </row>
    <row r="98" spans="1:10" ht="14.1" customHeight="1" x14ac:dyDescent="0.2">
      <c r="A98" s="278"/>
      <c r="B98" s="278"/>
      <c r="C98" s="278"/>
      <c r="D98" s="261" t="s">
        <v>90</v>
      </c>
      <c r="E98" s="264">
        <v>21</v>
      </c>
      <c r="F98" s="264">
        <v>7696</v>
      </c>
      <c r="G98" s="264">
        <v>161607</v>
      </c>
      <c r="H98" s="264">
        <v>0</v>
      </c>
      <c r="I98" s="264">
        <v>0</v>
      </c>
      <c r="J98" s="264">
        <v>161607</v>
      </c>
    </row>
    <row r="99" spans="1:10" ht="14.1" customHeight="1" x14ac:dyDescent="0.2">
      <c r="A99" s="278"/>
      <c r="B99" s="278"/>
      <c r="C99" s="278"/>
      <c r="D99" s="261" t="s">
        <v>76</v>
      </c>
      <c r="E99" s="264">
        <v>1</v>
      </c>
      <c r="F99" s="264">
        <v>36385</v>
      </c>
      <c r="G99" s="264">
        <v>36385</v>
      </c>
      <c r="H99" s="264">
        <v>0</v>
      </c>
      <c r="I99" s="264">
        <v>0</v>
      </c>
      <c r="J99" s="264">
        <v>36385</v>
      </c>
    </row>
    <row r="100" spans="1:10" ht="14.1" customHeight="1" x14ac:dyDescent="0.2">
      <c r="A100" s="278"/>
      <c r="B100" s="278"/>
      <c r="C100" s="278"/>
      <c r="D100" s="261" t="s">
        <v>151</v>
      </c>
      <c r="E100" s="264">
        <v>2</v>
      </c>
      <c r="F100" s="264">
        <v>5752</v>
      </c>
      <c r="G100" s="264">
        <v>11505</v>
      </c>
      <c r="H100" s="264">
        <v>0</v>
      </c>
      <c r="I100" s="264">
        <v>0</v>
      </c>
      <c r="J100" s="264">
        <v>11505</v>
      </c>
    </row>
    <row r="101" spans="1:10" ht="42.95" customHeight="1" x14ac:dyDescent="0.2">
      <c r="A101" s="278"/>
      <c r="B101" s="278"/>
      <c r="C101" s="277" t="s">
        <v>243</v>
      </c>
      <c r="D101" s="261" t="s">
        <v>92</v>
      </c>
      <c r="E101" s="264">
        <v>7</v>
      </c>
      <c r="F101" s="264">
        <v>31800</v>
      </c>
      <c r="G101" s="264">
        <v>222597</v>
      </c>
      <c r="H101" s="264">
        <v>1469</v>
      </c>
      <c r="I101" s="264">
        <v>10284</v>
      </c>
      <c r="J101" s="264">
        <v>212313</v>
      </c>
    </row>
    <row r="102" spans="1:10" ht="14.1" customHeight="1" x14ac:dyDescent="0.2">
      <c r="A102" s="278"/>
      <c r="B102" s="278"/>
      <c r="C102" s="278"/>
      <c r="D102" s="261" t="s">
        <v>86</v>
      </c>
      <c r="E102" s="264">
        <v>17</v>
      </c>
      <c r="F102" s="264">
        <v>19577</v>
      </c>
      <c r="G102" s="264">
        <v>332810</v>
      </c>
      <c r="H102" s="264">
        <v>1469</v>
      </c>
      <c r="I102" s="264">
        <v>24976</v>
      </c>
      <c r="J102" s="264">
        <v>307834</v>
      </c>
    </row>
    <row r="103" spans="1:10" ht="14.1" customHeight="1" x14ac:dyDescent="0.2">
      <c r="A103" s="278"/>
      <c r="B103" s="278"/>
      <c r="C103" s="278"/>
      <c r="D103" s="261" t="s">
        <v>87</v>
      </c>
      <c r="E103" s="264">
        <v>1</v>
      </c>
      <c r="F103" s="264">
        <v>12786</v>
      </c>
      <c r="G103" s="264">
        <v>12786</v>
      </c>
      <c r="H103" s="264">
        <v>1469</v>
      </c>
      <c r="I103" s="264">
        <v>1469</v>
      </c>
      <c r="J103" s="264">
        <v>11317</v>
      </c>
    </row>
    <row r="104" spans="1:10" ht="14.1" customHeight="1" x14ac:dyDescent="0.2">
      <c r="A104" s="278"/>
      <c r="B104" s="278"/>
      <c r="C104" s="278"/>
      <c r="D104" s="261" t="s">
        <v>84</v>
      </c>
      <c r="E104" s="264">
        <v>35</v>
      </c>
      <c r="F104" s="264">
        <v>9165</v>
      </c>
      <c r="G104" s="264">
        <v>320766</v>
      </c>
      <c r="H104" s="264">
        <v>1469</v>
      </c>
      <c r="I104" s="264">
        <v>51421</v>
      </c>
      <c r="J104" s="264">
        <v>269345</v>
      </c>
    </row>
    <row r="105" spans="1:10" ht="14.1" customHeight="1" x14ac:dyDescent="0.2">
      <c r="A105" s="278"/>
      <c r="B105" s="278"/>
      <c r="C105" s="278"/>
      <c r="D105" s="261" t="s">
        <v>78</v>
      </c>
      <c r="E105" s="264">
        <v>11</v>
      </c>
      <c r="F105" s="264">
        <v>37855</v>
      </c>
      <c r="G105" s="264">
        <v>416400</v>
      </c>
      <c r="H105" s="264">
        <v>1469</v>
      </c>
      <c r="I105" s="264">
        <v>16161</v>
      </c>
      <c r="J105" s="264">
        <v>400239</v>
      </c>
    </row>
    <row r="106" spans="1:10" ht="14.1" customHeight="1" x14ac:dyDescent="0.2">
      <c r="A106" s="278"/>
      <c r="B106" s="278"/>
      <c r="C106" s="278"/>
      <c r="D106" s="261" t="s">
        <v>153</v>
      </c>
      <c r="E106" s="264">
        <v>28</v>
      </c>
      <c r="F106" s="264">
        <v>5831</v>
      </c>
      <c r="G106" s="264">
        <v>163279</v>
      </c>
      <c r="H106" s="264">
        <v>1469</v>
      </c>
      <c r="I106" s="264">
        <v>41137</v>
      </c>
      <c r="J106" s="264">
        <v>122143</v>
      </c>
    </row>
    <row r="107" spans="1:10" ht="42.95" customHeight="1" x14ac:dyDescent="0.2">
      <c r="A107" s="278"/>
      <c r="B107" s="278"/>
      <c r="C107" s="277" t="s">
        <v>244</v>
      </c>
      <c r="D107" s="261" t="s">
        <v>86</v>
      </c>
      <c r="E107" s="264">
        <v>7</v>
      </c>
      <c r="F107" s="264">
        <v>18898</v>
      </c>
      <c r="G107" s="264">
        <v>132285</v>
      </c>
      <c r="H107" s="264">
        <v>1242</v>
      </c>
      <c r="I107" s="264">
        <v>8693</v>
      </c>
      <c r="J107" s="264">
        <v>123592</v>
      </c>
    </row>
    <row r="108" spans="1:10" ht="14.1" customHeight="1" x14ac:dyDescent="0.2">
      <c r="A108" s="278"/>
      <c r="B108" s="278"/>
      <c r="C108" s="278"/>
      <c r="D108" s="261" t="s">
        <v>84</v>
      </c>
      <c r="E108" s="264">
        <v>10</v>
      </c>
      <c r="F108" s="264">
        <v>8486</v>
      </c>
      <c r="G108" s="264">
        <v>84855</v>
      </c>
      <c r="H108" s="264">
        <v>1242</v>
      </c>
      <c r="I108" s="264">
        <v>12418</v>
      </c>
      <c r="J108" s="264">
        <v>72437</v>
      </c>
    </row>
    <row r="109" spans="1:10" ht="14.1" customHeight="1" x14ac:dyDescent="0.2">
      <c r="A109" s="278"/>
      <c r="B109" s="278"/>
      <c r="C109" s="278"/>
      <c r="D109" s="261" t="s">
        <v>154</v>
      </c>
      <c r="E109" s="264">
        <v>4</v>
      </c>
      <c r="F109" s="264">
        <v>6542</v>
      </c>
      <c r="G109" s="264">
        <v>26170</v>
      </c>
      <c r="H109" s="264">
        <v>1242</v>
      </c>
      <c r="I109" s="264">
        <v>4967</v>
      </c>
      <c r="J109" s="264">
        <v>21202</v>
      </c>
    </row>
    <row r="110" spans="1:10" ht="42.95" customHeight="1" x14ac:dyDescent="0.2">
      <c r="A110" s="278"/>
      <c r="B110" s="278"/>
      <c r="C110" s="277" t="s">
        <v>245</v>
      </c>
      <c r="D110" s="261" t="s">
        <v>83</v>
      </c>
      <c r="E110" s="264">
        <v>1</v>
      </c>
      <c r="F110" s="264">
        <v>2773</v>
      </c>
      <c r="G110" s="264">
        <v>2773</v>
      </c>
      <c r="H110" s="264">
        <v>790</v>
      </c>
      <c r="I110" s="264">
        <v>790</v>
      </c>
      <c r="J110" s="264">
        <v>1983</v>
      </c>
    </row>
    <row r="111" spans="1:10" ht="14.1" customHeight="1" x14ac:dyDescent="0.2">
      <c r="A111" s="278"/>
      <c r="B111" s="278"/>
      <c r="C111" s="278"/>
      <c r="D111" s="261" t="s">
        <v>118</v>
      </c>
      <c r="E111" s="264">
        <v>3</v>
      </c>
      <c r="F111" s="264">
        <v>51490</v>
      </c>
      <c r="G111" s="264">
        <v>154471</v>
      </c>
      <c r="H111" s="264">
        <v>790</v>
      </c>
      <c r="I111" s="264">
        <v>2370</v>
      </c>
      <c r="J111" s="264">
        <v>152101</v>
      </c>
    </row>
    <row r="112" spans="1:10" ht="14.1" customHeight="1" x14ac:dyDescent="0.2">
      <c r="A112" s="278"/>
      <c r="B112" s="278"/>
      <c r="C112" s="278"/>
      <c r="D112" s="261" t="s">
        <v>92</v>
      </c>
      <c r="E112" s="264">
        <v>825</v>
      </c>
      <c r="F112" s="264">
        <v>31120</v>
      </c>
      <c r="G112" s="264">
        <v>25674350</v>
      </c>
      <c r="H112" s="264">
        <v>790</v>
      </c>
      <c r="I112" s="264">
        <v>651734</v>
      </c>
      <c r="J112" s="264">
        <v>25022616</v>
      </c>
    </row>
    <row r="113" spans="1:10" ht="14.1" customHeight="1" x14ac:dyDescent="0.2">
      <c r="A113" s="278"/>
      <c r="B113" s="278"/>
      <c r="C113" s="278"/>
      <c r="D113" s="261" t="s">
        <v>86</v>
      </c>
      <c r="E113" s="264">
        <v>3041</v>
      </c>
      <c r="F113" s="264">
        <v>18898</v>
      </c>
      <c r="G113" s="264">
        <v>57468455</v>
      </c>
      <c r="H113" s="264">
        <v>790</v>
      </c>
      <c r="I113" s="264">
        <v>2402331</v>
      </c>
      <c r="J113" s="264">
        <v>55066123</v>
      </c>
    </row>
    <row r="114" spans="1:10" ht="14.1" customHeight="1" x14ac:dyDescent="0.2">
      <c r="A114" s="278"/>
      <c r="B114" s="278"/>
      <c r="C114" s="278"/>
      <c r="D114" s="261" t="s">
        <v>87</v>
      </c>
      <c r="E114" s="264">
        <v>85</v>
      </c>
      <c r="F114" s="264">
        <v>12107</v>
      </c>
      <c r="G114" s="264">
        <v>1029090</v>
      </c>
      <c r="H114" s="264">
        <v>790</v>
      </c>
      <c r="I114" s="264">
        <v>67148</v>
      </c>
      <c r="J114" s="264">
        <v>961941</v>
      </c>
    </row>
    <row r="115" spans="1:10" ht="14.1" customHeight="1" x14ac:dyDescent="0.2">
      <c r="A115" s="278"/>
      <c r="B115" s="278"/>
      <c r="C115" s="278"/>
      <c r="D115" s="261" t="s">
        <v>84</v>
      </c>
      <c r="E115" s="264">
        <v>2125</v>
      </c>
      <c r="F115" s="264">
        <v>8486</v>
      </c>
      <c r="G115" s="264">
        <v>18031792</v>
      </c>
      <c r="H115" s="264">
        <v>790</v>
      </c>
      <c r="I115" s="264">
        <v>1678709</v>
      </c>
      <c r="J115" s="264">
        <v>16353083</v>
      </c>
    </row>
    <row r="116" spans="1:10" ht="14.1" customHeight="1" x14ac:dyDescent="0.2">
      <c r="A116" s="278"/>
      <c r="B116" s="278"/>
      <c r="C116" s="278"/>
      <c r="D116" s="261" t="s">
        <v>78</v>
      </c>
      <c r="E116" s="264">
        <v>292</v>
      </c>
      <c r="F116" s="264">
        <v>37175</v>
      </c>
      <c r="G116" s="264">
        <v>10855198</v>
      </c>
      <c r="H116" s="264">
        <v>790</v>
      </c>
      <c r="I116" s="264">
        <v>230674</v>
      </c>
      <c r="J116" s="264">
        <v>10624524</v>
      </c>
    </row>
    <row r="117" spans="1:10" ht="14.1" customHeight="1" x14ac:dyDescent="0.2">
      <c r="A117" s="278"/>
      <c r="B117" s="278"/>
      <c r="C117" s="278"/>
      <c r="D117" s="261" t="s">
        <v>153</v>
      </c>
      <c r="E117" s="264">
        <v>534</v>
      </c>
      <c r="F117" s="264">
        <v>5152</v>
      </c>
      <c r="G117" s="264">
        <v>2751283</v>
      </c>
      <c r="H117" s="264">
        <v>790</v>
      </c>
      <c r="I117" s="264">
        <v>421850</v>
      </c>
      <c r="J117" s="264">
        <v>2329434</v>
      </c>
    </row>
    <row r="118" spans="1:10" ht="14.1" customHeight="1" x14ac:dyDescent="0.2">
      <c r="A118" s="278"/>
      <c r="B118" s="278"/>
      <c r="C118" s="278"/>
      <c r="D118" s="261" t="s">
        <v>154</v>
      </c>
      <c r="E118" s="264">
        <v>147</v>
      </c>
      <c r="F118" s="264">
        <v>6542</v>
      </c>
      <c r="G118" s="264">
        <v>961731</v>
      </c>
      <c r="H118" s="264">
        <v>790</v>
      </c>
      <c r="I118" s="264">
        <v>116127</v>
      </c>
      <c r="J118" s="264">
        <v>845604</v>
      </c>
    </row>
    <row r="119" spans="1:10" ht="42.95" customHeight="1" x14ac:dyDescent="0.2">
      <c r="A119" s="278"/>
      <c r="B119" s="277" t="s">
        <v>247</v>
      </c>
      <c r="C119" s="277" t="s">
        <v>245</v>
      </c>
      <c r="D119" s="261" t="s">
        <v>86</v>
      </c>
      <c r="E119" s="264">
        <v>9</v>
      </c>
      <c r="F119" s="264">
        <v>18898</v>
      </c>
      <c r="G119" s="264">
        <v>170081</v>
      </c>
      <c r="H119" s="264">
        <v>1978</v>
      </c>
      <c r="I119" s="264">
        <v>17801</v>
      </c>
      <c r="J119" s="264">
        <v>152280</v>
      </c>
    </row>
    <row r="120" spans="1:10" ht="14.1" customHeight="1" x14ac:dyDescent="0.2">
      <c r="A120" s="278"/>
      <c r="B120" s="278"/>
      <c r="C120" s="278"/>
      <c r="D120" s="261" t="s">
        <v>84</v>
      </c>
      <c r="E120" s="264">
        <v>26</v>
      </c>
      <c r="F120" s="264">
        <v>8486</v>
      </c>
      <c r="G120" s="264">
        <v>220624</v>
      </c>
      <c r="H120" s="264">
        <v>1978</v>
      </c>
      <c r="I120" s="264">
        <v>51424</v>
      </c>
      <c r="J120" s="264">
        <v>169200</v>
      </c>
    </row>
    <row r="121" spans="1:10" ht="14.1" customHeight="1" x14ac:dyDescent="0.2">
      <c r="A121" s="278" t="s">
        <v>3</v>
      </c>
      <c r="B121" s="278" t="s">
        <v>60</v>
      </c>
      <c r="C121" s="278"/>
      <c r="D121" s="278"/>
      <c r="E121" s="264">
        <v>28159</v>
      </c>
      <c r="F121" s="264"/>
      <c r="G121" s="264">
        <v>367529115</v>
      </c>
      <c r="H121" s="264">
        <v>31471</v>
      </c>
      <c r="I121" s="264"/>
      <c r="J121" s="264">
        <v>326241405</v>
      </c>
    </row>
    <row r="122" spans="1:10" ht="14.1" customHeight="1" x14ac:dyDescent="0.2">
      <c r="A122" s="278"/>
      <c r="B122" s="261" t="s">
        <v>71</v>
      </c>
      <c r="C122" s="261" t="s">
        <v>72</v>
      </c>
      <c r="D122" s="261" t="s">
        <v>73</v>
      </c>
      <c r="E122" s="281">
        <v>2</v>
      </c>
      <c r="F122" s="281">
        <v>0</v>
      </c>
      <c r="G122" s="281">
        <v>0</v>
      </c>
      <c r="H122" s="281">
        <v>0</v>
      </c>
      <c r="I122" s="281">
        <v>0</v>
      </c>
      <c r="J122" s="281">
        <v>0</v>
      </c>
    </row>
    <row r="123" spans="1:10" ht="42.95" customHeight="1" x14ac:dyDescent="0.2">
      <c r="A123" s="278"/>
      <c r="B123" s="279" t="s">
        <v>89</v>
      </c>
      <c r="C123" s="277" t="s">
        <v>243</v>
      </c>
      <c r="D123" s="261" t="s">
        <v>94</v>
      </c>
      <c r="E123" s="282"/>
      <c r="F123" s="282"/>
      <c r="G123" s="282"/>
      <c r="H123" s="282"/>
      <c r="I123" s="282"/>
      <c r="J123" s="282"/>
    </row>
    <row r="124" spans="1:10" ht="14.1" customHeight="1" x14ac:dyDescent="0.2">
      <c r="A124" s="278"/>
      <c r="B124" s="278"/>
      <c r="C124" s="278"/>
      <c r="D124" s="261" t="s">
        <v>84</v>
      </c>
      <c r="E124" s="264">
        <v>6</v>
      </c>
      <c r="F124" s="264">
        <v>9165</v>
      </c>
      <c r="G124" s="264">
        <v>54988</v>
      </c>
      <c r="H124" s="264">
        <v>2296</v>
      </c>
      <c r="I124" s="264">
        <v>13777</v>
      </c>
      <c r="J124" s="264">
        <v>41211</v>
      </c>
    </row>
    <row r="125" spans="1:10" ht="14.1" customHeight="1" x14ac:dyDescent="0.2">
      <c r="A125" s="278"/>
      <c r="B125" s="278"/>
      <c r="C125" s="278"/>
      <c r="D125" s="261" t="s">
        <v>105</v>
      </c>
      <c r="E125" s="264">
        <v>347</v>
      </c>
      <c r="F125" s="264">
        <v>9435</v>
      </c>
      <c r="G125" s="264">
        <v>3274102</v>
      </c>
      <c r="H125" s="264">
        <v>2567</v>
      </c>
      <c r="I125" s="264">
        <v>890722</v>
      </c>
      <c r="J125" s="264">
        <v>2383381</v>
      </c>
    </row>
    <row r="126" spans="1:10" ht="42.95" customHeight="1" x14ac:dyDescent="0.2">
      <c r="A126" s="278"/>
      <c r="B126" s="278"/>
      <c r="C126" s="277" t="s">
        <v>245</v>
      </c>
      <c r="D126" s="261" t="s">
        <v>93</v>
      </c>
      <c r="E126" s="264">
        <v>4</v>
      </c>
      <c r="F126" s="264">
        <v>13591</v>
      </c>
      <c r="G126" s="264">
        <v>54366</v>
      </c>
      <c r="H126" s="264">
        <v>6723</v>
      </c>
      <c r="I126" s="264">
        <v>26892</v>
      </c>
      <c r="J126" s="264">
        <v>27474</v>
      </c>
    </row>
    <row r="127" spans="1:10" ht="14.1" customHeight="1" x14ac:dyDescent="0.2">
      <c r="A127" s="278"/>
      <c r="B127" s="278"/>
      <c r="C127" s="278"/>
      <c r="D127" s="261" t="s">
        <v>94</v>
      </c>
      <c r="E127" s="264">
        <v>16</v>
      </c>
      <c r="F127" s="264">
        <v>0</v>
      </c>
      <c r="G127" s="264">
        <v>0</v>
      </c>
      <c r="H127" s="264">
        <v>0</v>
      </c>
      <c r="I127" s="264">
        <v>0</v>
      </c>
      <c r="J127" s="264">
        <v>0</v>
      </c>
    </row>
    <row r="128" spans="1:10" ht="14.1" customHeight="1" x14ac:dyDescent="0.2">
      <c r="A128" s="278"/>
      <c r="B128" s="278"/>
      <c r="C128" s="278"/>
      <c r="D128" s="261" t="s">
        <v>84</v>
      </c>
      <c r="E128" s="264">
        <v>15545</v>
      </c>
      <c r="F128" s="264">
        <v>8486</v>
      </c>
      <c r="G128" s="264">
        <v>131907861</v>
      </c>
      <c r="H128" s="264">
        <v>1617</v>
      </c>
      <c r="I128" s="264">
        <v>25136534</v>
      </c>
      <c r="J128" s="264">
        <v>106771327</v>
      </c>
    </row>
    <row r="129" spans="1:10" ht="14.1" customHeight="1" x14ac:dyDescent="0.2">
      <c r="A129" s="278"/>
      <c r="B129" s="278"/>
      <c r="C129" s="278"/>
      <c r="D129" s="261" t="s">
        <v>90</v>
      </c>
      <c r="E129" s="264">
        <v>47</v>
      </c>
      <c r="F129" s="264">
        <v>7696</v>
      </c>
      <c r="G129" s="264">
        <v>361692</v>
      </c>
      <c r="H129" s="264">
        <v>827</v>
      </c>
      <c r="I129" s="264">
        <v>38871</v>
      </c>
      <c r="J129" s="264">
        <v>322821</v>
      </c>
    </row>
    <row r="130" spans="1:10" ht="14.1" customHeight="1" x14ac:dyDescent="0.2">
      <c r="A130" s="278"/>
      <c r="B130" s="278"/>
      <c r="C130" s="278"/>
      <c r="D130" s="261" t="s">
        <v>105</v>
      </c>
      <c r="E130" s="264">
        <v>5038</v>
      </c>
      <c r="F130" s="264">
        <v>8756</v>
      </c>
      <c r="G130" s="264">
        <v>44114048</v>
      </c>
      <c r="H130" s="264">
        <v>1888</v>
      </c>
      <c r="I130" s="264">
        <v>9510385</v>
      </c>
      <c r="J130" s="264">
        <v>34603663</v>
      </c>
    </row>
    <row r="131" spans="1:10" ht="14.1" customHeight="1" x14ac:dyDescent="0.2">
      <c r="A131" s="278"/>
      <c r="B131" s="278"/>
      <c r="C131" s="278"/>
      <c r="D131" s="261" t="s">
        <v>95</v>
      </c>
      <c r="E131" s="264">
        <v>1</v>
      </c>
      <c r="F131" s="264">
        <v>7966</v>
      </c>
      <c r="G131" s="264">
        <v>7966</v>
      </c>
      <c r="H131" s="264">
        <v>1098</v>
      </c>
      <c r="I131" s="264">
        <v>1098</v>
      </c>
      <c r="J131" s="264">
        <v>6869</v>
      </c>
    </row>
    <row r="132" spans="1:10" ht="42.95" customHeight="1" x14ac:dyDescent="0.2">
      <c r="A132" s="278"/>
      <c r="B132" s="277" t="s">
        <v>246</v>
      </c>
      <c r="C132" s="280" t="s">
        <v>75</v>
      </c>
      <c r="D132" s="261" t="s">
        <v>90</v>
      </c>
      <c r="E132" s="264">
        <v>1</v>
      </c>
      <c r="F132" s="264">
        <v>7696</v>
      </c>
      <c r="G132" s="264">
        <v>7696</v>
      </c>
      <c r="H132" s="264">
        <v>0</v>
      </c>
      <c r="I132" s="264">
        <v>0</v>
      </c>
      <c r="J132" s="264">
        <v>7696</v>
      </c>
    </row>
    <row r="133" spans="1:10" ht="14.1" customHeight="1" x14ac:dyDescent="0.2">
      <c r="A133" s="278"/>
      <c r="B133" s="278"/>
      <c r="C133" s="278"/>
      <c r="D133" s="261" t="s">
        <v>98</v>
      </c>
      <c r="E133" s="264">
        <v>1</v>
      </c>
      <c r="F133" s="264">
        <v>2717</v>
      </c>
      <c r="G133" s="264">
        <v>2717</v>
      </c>
      <c r="H133" s="264">
        <v>0</v>
      </c>
      <c r="I133" s="264">
        <v>0</v>
      </c>
      <c r="J133" s="264">
        <v>2717</v>
      </c>
    </row>
    <row r="134" spans="1:10" ht="14.1" customHeight="1" x14ac:dyDescent="0.2">
      <c r="A134" s="278"/>
      <c r="B134" s="278"/>
      <c r="C134" s="278"/>
      <c r="D134" s="261" t="s">
        <v>76</v>
      </c>
      <c r="E134" s="264">
        <v>3</v>
      </c>
      <c r="F134" s="264">
        <v>36385</v>
      </c>
      <c r="G134" s="264">
        <v>109156</v>
      </c>
      <c r="H134" s="264">
        <v>0</v>
      </c>
      <c r="I134" s="264">
        <v>0</v>
      </c>
      <c r="J134" s="264">
        <v>109156</v>
      </c>
    </row>
    <row r="135" spans="1:10" ht="14.1" customHeight="1" x14ac:dyDescent="0.2">
      <c r="A135" s="278"/>
      <c r="B135" s="278"/>
      <c r="C135" s="278"/>
      <c r="D135" s="261" t="s">
        <v>155</v>
      </c>
      <c r="E135" s="264">
        <v>4</v>
      </c>
      <c r="F135" s="264">
        <v>4362</v>
      </c>
      <c r="G135" s="264">
        <v>17449</v>
      </c>
      <c r="H135" s="264">
        <v>0</v>
      </c>
      <c r="I135" s="264">
        <v>0</v>
      </c>
      <c r="J135" s="264">
        <v>17449</v>
      </c>
    </row>
    <row r="136" spans="1:10" ht="42.95" customHeight="1" x14ac:dyDescent="0.2">
      <c r="A136" s="278"/>
      <c r="B136" s="278"/>
      <c r="C136" s="277" t="s">
        <v>243</v>
      </c>
      <c r="D136" s="261" t="s">
        <v>86</v>
      </c>
      <c r="E136" s="264">
        <v>1</v>
      </c>
      <c r="F136" s="264">
        <v>19577</v>
      </c>
      <c r="G136" s="264">
        <v>19577</v>
      </c>
      <c r="H136" s="264">
        <v>1469</v>
      </c>
      <c r="I136" s="264">
        <v>1469</v>
      </c>
      <c r="J136" s="264">
        <v>18108</v>
      </c>
    </row>
    <row r="137" spans="1:10" ht="14.1" customHeight="1" x14ac:dyDescent="0.2">
      <c r="A137" s="278"/>
      <c r="B137" s="278"/>
      <c r="C137" s="278"/>
      <c r="D137" s="261" t="s">
        <v>84</v>
      </c>
      <c r="E137" s="264">
        <v>3</v>
      </c>
      <c r="F137" s="264">
        <v>9165</v>
      </c>
      <c r="G137" s="264">
        <v>27494</v>
      </c>
      <c r="H137" s="264">
        <v>1469</v>
      </c>
      <c r="I137" s="264">
        <v>4408</v>
      </c>
      <c r="J137" s="264">
        <v>23087</v>
      </c>
    </row>
    <row r="138" spans="1:10" ht="14.1" customHeight="1" x14ac:dyDescent="0.2">
      <c r="A138" s="278"/>
      <c r="B138" s="278"/>
      <c r="C138" s="278"/>
      <c r="D138" s="261" t="s">
        <v>78</v>
      </c>
      <c r="E138" s="264">
        <v>3</v>
      </c>
      <c r="F138" s="264">
        <v>37855</v>
      </c>
      <c r="G138" s="264">
        <v>113564</v>
      </c>
      <c r="H138" s="264">
        <v>1469</v>
      </c>
      <c r="I138" s="264">
        <v>4408</v>
      </c>
      <c r="J138" s="264">
        <v>109156</v>
      </c>
    </row>
    <row r="139" spans="1:10" ht="14.1" customHeight="1" x14ac:dyDescent="0.2">
      <c r="A139" s="278"/>
      <c r="B139" s="278"/>
      <c r="C139" s="278"/>
      <c r="D139" s="261" t="s">
        <v>153</v>
      </c>
      <c r="E139" s="264">
        <v>27</v>
      </c>
      <c r="F139" s="264">
        <v>5831</v>
      </c>
      <c r="G139" s="264">
        <v>157448</v>
      </c>
      <c r="H139" s="264">
        <v>1469</v>
      </c>
      <c r="I139" s="264">
        <v>39668</v>
      </c>
      <c r="J139" s="264">
        <v>117780</v>
      </c>
    </row>
    <row r="140" spans="1:10" ht="14.1" customHeight="1" x14ac:dyDescent="0.2">
      <c r="A140" s="278"/>
      <c r="B140" s="278"/>
      <c r="C140" s="278"/>
      <c r="D140" s="261" t="s">
        <v>154</v>
      </c>
      <c r="E140" s="264">
        <v>4</v>
      </c>
      <c r="F140" s="264">
        <v>7222</v>
      </c>
      <c r="G140" s="264">
        <v>28886</v>
      </c>
      <c r="H140" s="264">
        <v>1469</v>
      </c>
      <c r="I140" s="264">
        <v>5877</v>
      </c>
      <c r="J140" s="264">
        <v>23010</v>
      </c>
    </row>
    <row r="141" spans="1:10" ht="42.95" customHeight="1" x14ac:dyDescent="0.2">
      <c r="A141" s="278"/>
      <c r="B141" s="278"/>
      <c r="C141" s="277" t="s">
        <v>245</v>
      </c>
      <c r="D141" s="261" t="s">
        <v>83</v>
      </c>
      <c r="E141" s="264">
        <v>1</v>
      </c>
      <c r="F141" s="264">
        <v>2773</v>
      </c>
      <c r="G141" s="264">
        <v>2773</v>
      </c>
      <c r="H141" s="264">
        <v>790</v>
      </c>
      <c r="I141" s="264">
        <v>790</v>
      </c>
      <c r="J141" s="264">
        <v>1983</v>
      </c>
    </row>
    <row r="142" spans="1:10" ht="14.1" customHeight="1" x14ac:dyDescent="0.2">
      <c r="A142" s="278"/>
      <c r="B142" s="278"/>
      <c r="C142" s="278"/>
      <c r="D142" s="261" t="s">
        <v>92</v>
      </c>
      <c r="E142" s="264">
        <v>601</v>
      </c>
      <c r="F142" s="264">
        <v>31120</v>
      </c>
      <c r="G142" s="264">
        <v>18703375</v>
      </c>
      <c r="H142" s="264">
        <v>790</v>
      </c>
      <c r="I142" s="264">
        <v>474778</v>
      </c>
      <c r="J142" s="264">
        <v>18228596</v>
      </c>
    </row>
    <row r="143" spans="1:10" ht="14.1" customHeight="1" x14ac:dyDescent="0.2">
      <c r="A143" s="278"/>
      <c r="B143" s="278"/>
      <c r="C143" s="278"/>
      <c r="D143" s="261" t="s">
        <v>86</v>
      </c>
      <c r="E143" s="264">
        <v>1418</v>
      </c>
      <c r="F143" s="264">
        <v>18898</v>
      </c>
      <c r="G143" s="264">
        <v>26797195</v>
      </c>
      <c r="H143" s="264">
        <v>790</v>
      </c>
      <c r="I143" s="264">
        <v>1120193</v>
      </c>
      <c r="J143" s="264">
        <v>25677002</v>
      </c>
    </row>
    <row r="144" spans="1:10" ht="14.1" customHeight="1" x14ac:dyDescent="0.2">
      <c r="A144" s="278"/>
      <c r="B144" s="278"/>
      <c r="C144" s="278"/>
      <c r="D144" s="261" t="s">
        <v>87</v>
      </c>
      <c r="E144" s="264">
        <v>53</v>
      </c>
      <c r="F144" s="264">
        <v>12107</v>
      </c>
      <c r="G144" s="264">
        <v>641668</v>
      </c>
      <c r="H144" s="264">
        <v>790</v>
      </c>
      <c r="I144" s="264">
        <v>41869</v>
      </c>
      <c r="J144" s="264">
        <v>599799</v>
      </c>
    </row>
    <row r="145" spans="1:10" ht="14.1" customHeight="1" x14ac:dyDescent="0.2">
      <c r="A145" s="278"/>
      <c r="B145" s="278"/>
      <c r="C145" s="278"/>
      <c r="D145" s="261" t="s">
        <v>84</v>
      </c>
      <c r="E145" s="264">
        <v>365</v>
      </c>
      <c r="F145" s="264">
        <v>8486</v>
      </c>
      <c r="G145" s="264">
        <v>3097225</v>
      </c>
      <c r="H145" s="264">
        <v>790</v>
      </c>
      <c r="I145" s="264">
        <v>288343</v>
      </c>
      <c r="J145" s="264">
        <v>2808882</v>
      </c>
    </row>
    <row r="146" spans="1:10" ht="14.1" customHeight="1" x14ac:dyDescent="0.2">
      <c r="A146" s="278"/>
      <c r="B146" s="278"/>
      <c r="C146" s="278"/>
      <c r="D146" s="261" t="s">
        <v>96</v>
      </c>
      <c r="E146" s="264">
        <v>93</v>
      </c>
      <c r="F146" s="264">
        <v>3507</v>
      </c>
      <c r="G146" s="264">
        <v>326127</v>
      </c>
      <c r="H146" s="264">
        <v>790</v>
      </c>
      <c r="I146" s="264">
        <v>73468</v>
      </c>
      <c r="J146" s="264">
        <v>252659</v>
      </c>
    </row>
    <row r="147" spans="1:10" ht="14.1" customHeight="1" x14ac:dyDescent="0.2">
      <c r="A147" s="278"/>
      <c r="B147" s="278"/>
      <c r="C147" s="278"/>
      <c r="D147" s="261" t="s">
        <v>78</v>
      </c>
      <c r="E147" s="264">
        <v>3563</v>
      </c>
      <c r="F147" s="264">
        <v>37175</v>
      </c>
      <c r="G147" s="264">
        <v>132455726</v>
      </c>
      <c r="H147" s="264">
        <v>790</v>
      </c>
      <c r="I147" s="264">
        <v>2814701</v>
      </c>
      <c r="J147" s="264">
        <v>129641025</v>
      </c>
    </row>
    <row r="148" spans="1:10" ht="14.1" customHeight="1" x14ac:dyDescent="0.2">
      <c r="A148" s="278"/>
      <c r="B148" s="278"/>
      <c r="C148" s="278"/>
      <c r="D148" s="261" t="s">
        <v>153</v>
      </c>
      <c r="E148" s="264">
        <v>989</v>
      </c>
      <c r="F148" s="264">
        <v>5152</v>
      </c>
      <c r="G148" s="264">
        <v>5095541</v>
      </c>
      <c r="H148" s="264">
        <v>790</v>
      </c>
      <c r="I148" s="264">
        <v>781291</v>
      </c>
      <c r="J148" s="264">
        <v>4314250</v>
      </c>
    </row>
    <row r="149" spans="1:10" ht="14.1" customHeight="1" x14ac:dyDescent="0.2">
      <c r="A149" s="278"/>
      <c r="B149" s="278"/>
      <c r="C149" s="278"/>
      <c r="D149" s="261" t="s">
        <v>154</v>
      </c>
      <c r="E149" s="264">
        <v>23</v>
      </c>
      <c r="F149" s="264">
        <v>6542</v>
      </c>
      <c r="G149" s="264">
        <v>150475</v>
      </c>
      <c r="H149" s="264">
        <v>790</v>
      </c>
      <c r="I149" s="264">
        <v>18170</v>
      </c>
      <c r="J149" s="264">
        <v>132305</v>
      </c>
    </row>
    <row r="150" spans="1:10" ht="14.1" customHeight="1" x14ac:dyDescent="0.2">
      <c r="A150" s="278" t="s">
        <v>4</v>
      </c>
      <c r="B150" s="278" t="s">
        <v>60</v>
      </c>
      <c r="C150" s="278"/>
      <c r="D150" s="278"/>
      <c r="E150" s="264">
        <v>21171</v>
      </c>
      <c r="F150" s="264"/>
      <c r="G150" s="264">
        <v>396080255</v>
      </c>
      <c r="H150" s="264">
        <v>52252</v>
      </c>
      <c r="I150" s="264"/>
      <c r="J150" s="264">
        <v>362123556</v>
      </c>
    </row>
    <row r="151" spans="1:10" ht="14.1" customHeight="1" x14ac:dyDescent="0.2">
      <c r="A151" s="278"/>
      <c r="B151" s="261" t="s">
        <v>71</v>
      </c>
      <c r="C151" s="261" t="s">
        <v>72</v>
      </c>
      <c r="D151" s="261" t="s">
        <v>73</v>
      </c>
      <c r="E151" s="281">
        <v>5</v>
      </c>
      <c r="F151" s="281">
        <v>11382</v>
      </c>
      <c r="G151" s="281">
        <v>56912</v>
      </c>
      <c r="H151" s="281">
        <v>0</v>
      </c>
      <c r="I151" s="281">
        <v>0</v>
      </c>
      <c r="J151" s="281">
        <v>56912</v>
      </c>
    </row>
    <row r="152" spans="1:10" ht="14.1" customHeight="1" x14ac:dyDescent="0.2">
      <c r="A152" s="278"/>
      <c r="B152" s="279" t="s">
        <v>74</v>
      </c>
      <c r="C152" s="262" t="s">
        <v>75</v>
      </c>
      <c r="D152" s="261" t="s">
        <v>77</v>
      </c>
      <c r="E152" s="282"/>
      <c r="F152" s="282"/>
      <c r="G152" s="282"/>
      <c r="H152" s="282"/>
      <c r="I152" s="282"/>
      <c r="J152" s="282"/>
    </row>
    <row r="153" spans="1:10" ht="42.95" customHeight="1" x14ac:dyDescent="0.2">
      <c r="A153" s="278"/>
      <c r="B153" s="278"/>
      <c r="C153" s="263" t="s">
        <v>245</v>
      </c>
      <c r="D153" s="261" t="s">
        <v>79</v>
      </c>
      <c r="E153" s="264">
        <v>3716</v>
      </c>
      <c r="F153" s="264">
        <v>12175</v>
      </c>
      <c r="G153" s="264">
        <v>45241643</v>
      </c>
      <c r="H153" s="264">
        <v>1978</v>
      </c>
      <c r="I153" s="264">
        <v>7349661</v>
      </c>
      <c r="J153" s="264">
        <v>37891982</v>
      </c>
    </row>
    <row r="154" spans="1:10" ht="14.1" customHeight="1" x14ac:dyDescent="0.2">
      <c r="A154" s="278"/>
      <c r="B154" s="279" t="s">
        <v>80</v>
      </c>
      <c r="C154" s="280" t="s">
        <v>75</v>
      </c>
      <c r="D154" s="261" t="s">
        <v>81</v>
      </c>
      <c r="E154" s="264">
        <v>55</v>
      </c>
      <c r="F154" s="264">
        <v>22977</v>
      </c>
      <c r="G154" s="264">
        <v>1263717</v>
      </c>
      <c r="H154" s="264">
        <v>3812</v>
      </c>
      <c r="I154" s="264">
        <v>209636</v>
      </c>
      <c r="J154" s="264">
        <v>1054081</v>
      </c>
    </row>
    <row r="155" spans="1:10" ht="14.1" customHeight="1" x14ac:dyDescent="0.2">
      <c r="A155" s="278"/>
      <c r="B155" s="278"/>
      <c r="C155" s="278"/>
      <c r="D155" s="261" t="s">
        <v>82</v>
      </c>
      <c r="E155" s="264">
        <v>958</v>
      </c>
      <c r="F155" s="264">
        <v>19789</v>
      </c>
      <c r="G155" s="264">
        <v>18958034</v>
      </c>
      <c r="H155" s="264">
        <v>3812</v>
      </c>
      <c r="I155" s="264">
        <v>3651481</v>
      </c>
      <c r="J155" s="264">
        <v>15306552</v>
      </c>
    </row>
    <row r="156" spans="1:10" ht="42.95" customHeight="1" x14ac:dyDescent="0.2">
      <c r="A156" s="278"/>
      <c r="B156" s="277" t="s">
        <v>246</v>
      </c>
      <c r="C156" s="280" t="s">
        <v>75</v>
      </c>
      <c r="D156" s="261" t="s">
        <v>76</v>
      </c>
      <c r="E156" s="264">
        <v>20</v>
      </c>
      <c r="F156" s="264">
        <v>36385</v>
      </c>
      <c r="G156" s="264">
        <v>727707</v>
      </c>
      <c r="H156" s="264">
        <v>0</v>
      </c>
      <c r="I156" s="264">
        <v>0</v>
      </c>
      <c r="J156" s="264">
        <v>727707</v>
      </c>
    </row>
    <row r="157" spans="1:10" ht="14.1" customHeight="1" x14ac:dyDescent="0.2">
      <c r="A157" s="278"/>
      <c r="B157" s="278"/>
      <c r="C157" s="278"/>
      <c r="D157" s="261" t="s">
        <v>156</v>
      </c>
      <c r="E157" s="264">
        <v>91</v>
      </c>
      <c r="F157" s="264">
        <v>27212</v>
      </c>
      <c r="G157" s="264">
        <v>2476287</v>
      </c>
      <c r="H157" s="264">
        <v>0</v>
      </c>
      <c r="I157" s="264">
        <v>0</v>
      </c>
      <c r="J157" s="264">
        <v>2476287</v>
      </c>
    </row>
    <row r="158" spans="1:10" ht="14.1" customHeight="1" x14ac:dyDescent="0.2">
      <c r="A158" s="278"/>
      <c r="B158" s="278"/>
      <c r="C158" s="278"/>
      <c r="D158" s="261" t="s">
        <v>151</v>
      </c>
      <c r="E158" s="264">
        <v>6</v>
      </c>
      <c r="F158" s="264">
        <v>5752</v>
      </c>
      <c r="G158" s="264">
        <v>34514</v>
      </c>
      <c r="H158" s="264">
        <v>0</v>
      </c>
      <c r="I158" s="264">
        <v>0</v>
      </c>
      <c r="J158" s="264">
        <v>34514</v>
      </c>
    </row>
    <row r="159" spans="1:10" ht="42.95" customHeight="1" x14ac:dyDescent="0.2">
      <c r="A159" s="278"/>
      <c r="B159" s="278"/>
      <c r="C159" s="277" t="s">
        <v>243</v>
      </c>
      <c r="D159" s="261" t="s">
        <v>83</v>
      </c>
      <c r="E159" s="264">
        <v>18</v>
      </c>
      <c r="F159" s="264">
        <v>3452</v>
      </c>
      <c r="G159" s="264">
        <v>62133</v>
      </c>
      <c r="H159" s="264">
        <v>1469</v>
      </c>
      <c r="I159" s="264">
        <v>26445</v>
      </c>
      <c r="J159" s="264">
        <v>35688</v>
      </c>
    </row>
    <row r="160" spans="1:10" ht="14.1" customHeight="1" x14ac:dyDescent="0.2">
      <c r="A160" s="278"/>
      <c r="B160" s="278"/>
      <c r="C160" s="278"/>
      <c r="D160" s="261" t="s">
        <v>86</v>
      </c>
      <c r="E160" s="264">
        <v>1</v>
      </c>
      <c r="F160" s="264">
        <v>19577</v>
      </c>
      <c r="G160" s="264">
        <v>19577</v>
      </c>
      <c r="H160" s="264">
        <v>1469</v>
      </c>
      <c r="I160" s="264">
        <v>1469</v>
      </c>
      <c r="J160" s="264">
        <v>18108</v>
      </c>
    </row>
    <row r="161" spans="1:10" ht="14.1" customHeight="1" x14ac:dyDescent="0.2">
      <c r="A161" s="278"/>
      <c r="B161" s="278"/>
      <c r="C161" s="278"/>
      <c r="D161" s="261" t="s">
        <v>78</v>
      </c>
      <c r="E161" s="264">
        <v>19</v>
      </c>
      <c r="F161" s="264">
        <v>37855</v>
      </c>
      <c r="G161" s="264">
        <v>719236</v>
      </c>
      <c r="H161" s="264">
        <v>1469</v>
      </c>
      <c r="I161" s="264">
        <v>27914</v>
      </c>
      <c r="J161" s="264">
        <v>691322</v>
      </c>
    </row>
    <row r="162" spans="1:10" ht="14.1" customHeight="1" x14ac:dyDescent="0.2">
      <c r="A162" s="278"/>
      <c r="B162" s="278"/>
      <c r="C162" s="278"/>
      <c r="D162" s="261" t="s">
        <v>152</v>
      </c>
      <c r="E162" s="264">
        <v>2</v>
      </c>
      <c r="F162" s="264">
        <v>28681</v>
      </c>
      <c r="G162" s="264">
        <v>57362</v>
      </c>
      <c r="H162" s="264">
        <v>1469</v>
      </c>
      <c r="I162" s="264">
        <v>2938</v>
      </c>
      <c r="J162" s="264">
        <v>54424</v>
      </c>
    </row>
    <row r="163" spans="1:10" ht="14.1" customHeight="1" x14ac:dyDescent="0.2">
      <c r="A163" s="278"/>
      <c r="B163" s="278"/>
      <c r="C163" s="278"/>
      <c r="D163" s="261" t="s">
        <v>153</v>
      </c>
      <c r="E163" s="264">
        <v>2</v>
      </c>
      <c r="F163" s="264">
        <v>5831</v>
      </c>
      <c r="G163" s="264">
        <v>11663</v>
      </c>
      <c r="H163" s="264">
        <v>1469</v>
      </c>
      <c r="I163" s="264">
        <v>2938</v>
      </c>
      <c r="J163" s="264">
        <v>8724</v>
      </c>
    </row>
    <row r="164" spans="1:10" ht="14.1" customHeight="1" x14ac:dyDescent="0.2">
      <c r="A164" s="278"/>
      <c r="B164" s="278"/>
      <c r="C164" s="278"/>
      <c r="D164" s="261" t="s">
        <v>154</v>
      </c>
      <c r="E164" s="264">
        <v>1</v>
      </c>
      <c r="F164" s="264">
        <v>7222</v>
      </c>
      <c r="G164" s="264">
        <v>7222</v>
      </c>
      <c r="H164" s="264">
        <v>1469</v>
      </c>
      <c r="I164" s="264">
        <v>1469</v>
      </c>
      <c r="J164" s="264">
        <v>5752</v>
      </c>
    </row>
    <row r="165" spans="1:10" ht="42.95" customHeight="1" x14ac:dyDescent="0.2">
      <c r="A165" s="278"/>
      <c r="B165" s="278"/>
      <c r="C165" s="263" t="s">
        <v>244</v>
      </c>
      <c r="D165" s="261" t="s">
        <v>153</v>
      </c>
      <c r="E165" s="264">
        <v>26</v>
      </c>
      <c r="F165" s="264">
        <v>5448</v>
      </c>
      <c r="G165" s="264">
        <v>141639</v>
      </c>
      <c r="H165" s="264">
        <v>1242</v>
      </c>
      <c r="I165" s="264">
        <v>32287</v>
      </c>
      <c r="J165" s="264">
        <v>109352</v>
      </c>
    </row>
    <row r="166" spans="1:10" ht="42.95" customHeight="1" x14ac:dyDescent="0.2">
      <c r="A166" s="278"/>
      <c r="B166" s="278"/>
      <c r="C166" s="277" t="s">
        <v>245</v>
      </c>
      <c r="D166" s="261" t="s">
        <v>83</v>
      </c>
      <c r="E166" s="264">
        <v>125</v>
      </c>
      <c r="F166" s="264">
        <v>2789</v>
      </c>
      <c r="G166" s="264">
        <v>348618</v>
      </c>
      <c r="H166" s="264">
        <v>790</v>
      </c>
      <c r="I166" s="264">
        <v>98748</v>
      </c>
      <c r="J166" s="264">
        <v>249870</v>
      </c>
    </row>
    <row r="167" spans="1:10" ht="14.1" customHeight="1" x14ac:dyDescent="0.2">
      <c r="A167" s="278"/>
      <c r="B167" s="278"/>
      <c r="C167" s="278"/>
      <c r="D167" s="261" t="s">
        <v>102</v>
      </c>
      <c r="E167" s="264">
        <v>65</v>
      </c>
      <c r="F167" s="264">
        <v>97664</v>
      </c>
      <c r="G167" s="264">
        <v>6348145</v>
      </c>
      <c r="H167" s="264">
        <v>790</v>
      </c>
      <c r="I167" s="264">
        <v>51349</v>
      </c>
      <c r="J167" s="264">
        <v>6296797</v>
      </c>
    </row>
    <row r="168" spans="1:10" ht="14.1" customHeight="1" x14ac:dyDescent="0.2">
      <c r="A168" s="278"/>
      <c r="B168" s="278"/>
      <c r="C168" s="278"/>
      <c r="D168" s="261" t="s">
        <v>92</v>
      </c>
      <c r="E168" s="264">
        <v>22</v>
      </c>
      <c r="F168" s="264">
        <v>31120</v>
      </c>
      <c r="G168" s="264">
        <v>684649</v>
      </c>
      <c r="H168" s="264">
        <v>790</v>
      </c>
      <c r="I168" s="264">
        <v>17380</v>
      </c>
      <c r="J168" s="264">
        <v>667270</v>
      </c>
    </row>
    <row r="169" spans="1:10" ht="14.1" customHeight="1" x14ac:dyDescent="0.2">
      <c r="A169" s="278"/>
      <c r="B169" s="278"/>
      <c r="C169" s="278"/>
      <c r="D169" s="261" t="s">
        <v>86</v>
      </c>
      <c r="E169" s="264">
        <v>1006</v>
      </c>
      <c r="F169" s="264">
        <v>18904</v>
      </c>
      <c r="G169" s="264">
        <v>19017381</v>
      </c>
      <c r="H169" s="264">
        <v>790</v>
      </c>
      <c r="I169" s="264">
        <v>794721</v>
      </c>
      <c r="J169" s="264">
        <v>18222660</v>
      </c>
    </row>
    <row r="170" spans="1:10" ht="14.1" customHeight="1" x14ac:dyDescent="0.2">
      <c r="A170" s="278"/>
      <c r="B170" s="278"/>
      <c r="C170" s="278"/>
      <c r="D170" s="261" t="s">
        <v>87</v>
      </c>
      <c r="E170" s="264">
        <v>2</v>
      </c>
      <c r="F170" s="264">
        <v>12107</v>
      </c>
      <c r="G170" s="264">
        <v>24214</v>
      </c>
      <c r="H170" s="264">
        <v>790</v>
      </c>
      <c r="I170" s="264">
        <v>1580</v>
      </c>
      <c r="J170" s="264">
        <v>22634</v>
      </c>
    </row>
    <row r="171" spans="1:10" ht="14.1" customHeight="1" x14ac:dyDescent="0.2">
      <c r="A171" s="278"/>
      <c r="B171" s="278"/>
      <c r="C171" s="278"/>
      <c r="D171" s="261" t="s">
        <v>84</v>
      </c>
      <c r="E171" s="264">
        <v>194</v>
      </c>
      <c r="F171" s="264">
        <v>8489</v>
      </c>
      <c r="G171" s="264">
        <v>1646876</v>
      </c>
      <c r="H171" s="264">
        <v>790</v>
      </c>
      <c r="I171" s="264">
        <v>153256</v>
      </c>
      <c r="J171" s="264">
        <v>1493619</v>
      </c>
    </row>
    <row r="172" spans="1:10" ht="14.1" customHeight="1" x14ac:dyDescent="0.2">
      <c r="A172" s="278"/>
      <c r="B172" s="278"/>
      <c r="C172" s="278"/>
      <c r="D172" s="261" t="s">
        <v>85</v>
      </c>
      <c r="E172" s="264">
        <v>134</v>
      </c>
      <c r="F172" s="264">
        <v>5771</v>
      </c>
      <c r="G172" s="264">
        <v>773276</v>
      </c>
      <c r="H172" s="264">
        <v>790</v>
      </c>
      <c r="I172" s="264">
        <v>105857</v>
      </c>
      <c r="J172" s="264">
        <v>667418</v>
      </c>
    </row>
    <row r="173" spans="1:10" ht="14.1" customHeight="1" x14ac:dyDescent="0.2">
      <c r="A173" s="278"/>
      <c r="B173" s="278"/>
      <c r="C173" s="278"/>
      <c r="D173" s="261" t="s">
        <v>96</v>
      </c>
      <c r="E173" s="264">
        <v>44</v>
      </c>
      <c r="F173" s="264">
        <v>3507</v>
      </c>
      <c r="G173" s="264">
        <v>154297</v>
      </c>
      <c r="H173" s="264">
        <v>790</v>
      </c>
      <c r="I173" s="264">
        <v>34759</v>
      </c>
      <c r="J173" s="264">
        <v>119538</v>
      </c>
    </row>
    <row r="174" spans="1:10" ht="14.1" customHeight="1" x14ac:dyDescent="0.2">
      <c r="A174" s="278"/>
      <c r="B174" s="278"/>
      <c r="C174" s="278"/>
      <c r="D174" s="261" t="s">
        <v>88</v>
      </c>
      <c r="E174" s="264">
        <v>2</v>
      </c>
      <c r="F174" s="264">
        <v>2149</v>
      </c>
      <c r="G174" s="264">
        <v>4299</v>
      </c>
      <c r="H174" s="264">
        <v>790</v>
      </c>
      <c r="I174" s="264">
        <v>1580</v>
      </c>
      <c r="J174" s="264">
        <v>2719</v>
      </c>
    </row>
    <row r="175" spans="1:10" ht="14.1" customHeight="1" x14ac:dyDescent="0.2">
      <c r="A175" s="278"/>
      <c r="B175" s="278"/>
      <c r="C175" s="278"/>
      <c r="D175" s="261" t="s">
        <v>106</v>
      </c>
      <c r="E175" s="264">
        <v>1</v>
      </c>
      <c r="F175" s="264">
        <v>1401</v>
      </c>
      <c r="G175" s="264">
        <v>1401</v>
      </c>
      <c r="H175" s="264">
        <v>790</v>
      </c>
      <c r="I175" s="264">
        <v>790</v>
      </c>
      <c r="J175" s="264">
        <v>611</v>
      </c>
    </row>
    <row r="176" spans="1:10" ht="14.1" customHeight="1" x14ac:dyDescent="0.2">
      <c r="A176" s="278"/>
      <c r="B176" s="278"/>
      <c r="C176" s="278"/>
      <c r="D176" s="261" t="s">
        <v>78</v>
      </c>
      <c r="E176" s="264">
        <v>4837</v>
      </c>
      <c r="F176" s="264">
        <v>37187</v>
      </c>
      <c r="G176" s="264">
        <v>179872800</v>
      </c>
      <c r="H176" s="264">
        <v>790</v>
      </c>
      <c r="I176" s="264">
        <v>3821137</v>
      </c>
      <c r="J176" s="264">
        <v>176051663</v>
      </c>
    </row>
    <row r="177" spans="1:10" ht="14.1" customHeight="1" x14ac:dyDescent="0.2">
      <c r="A177" s="278"/>
      <c r="B177" s="278"/>
      <c r="C177" s="278"/>
      <c r="D177" s="261" t="s">
        <v>152</v>
      </c>
      <c r="E177" s="264">
        <v>114</v>
      </c>
      <c r="F177" s="264">
        <v>28002</v>
      </c>
      <c r="G177" s="264">
        <v>3192220</v>
      </c>
      <c r="H177" s="264">
        <v>790</v>
      </c>
      <c r="I177" s="264">
        <v>90058</v>
      </c>
      <c r="J177" s="264">
        <v>3102162</v>
      </c>
    </row>
    <row r="178" spans="1:10" ht="14.1" customHeight="1" x14ac:dyDescent="0.2">
      <c r="A178" s="278"/>
      <c r="B178" s="278"/>
      <c r="C178" s="278"/>
      <c r="D178" s="261" t="s">
        <v>153</v>
      </c>
      <c r="E178" s="264">
        <v>124</v>
      </c>
      <c r="F178" s="264">
        <v>5152</v>
      </c>
      <c r="G178" s="264">
        <v>638875</v>
      </c>
      <c r="H178" s="264">
        <v>790</v>
      </c>
      <c r="I178" s="264">
        <v>97958</v>
      </c>
      <c r="J178" s="264">
        <v>540917</v>
      </c>
    </row>
    <row r="179" spans="1:10" ht="14.1" customHeight="1" x14ac:dyDescent="0.2">
      <c r="A179" s="278"/>
      <c r="B179" s="278"/>
      <c r="C179" s="278"/>
      <c r="D179" s="261" t="s">
        <v>154</v>
      </c>
      <c r="E179" s="264">
        <v>1324</v>
      </c>
      <c r="F179" s="264">
        <v>6545</v>
      </c>
      <c r="G179" s="264">
        <v>8666198</v>
      </c>
      <c r="H179" s="264">
        <v>790</v>
      </c>
      <c r="I179" s="264">
        <v>1045934</v>
      </c>
      <c r="J179" s="264">
        <v>7620264</v>
      </c>
    </row>
    <row r="180" spans="1:10" ht="29.1" customHeight="1" x14ac:dyDescent="0.2">
      <c r="A180" s="278"/>
      <c r="B180" s="277" t="s">
        <v>247</v>
      </c>
      <c r="C180" s="280" t="s">
        <v>75</v>
      </c>
      <c r="D180" s="261" t="s">
        <v>99</v>
      </c>
      <c r="E180" s="264">
        <v>1</v>
      </c>
      <c r="F180" s="264">
        <v>30330</v>
      </c>
      <c r="G180" s="264">
        <v>30330</v>
      </c>
      <c r="H180" s="264">
        <v>1188</v>
      </c>
      <c r="I180" s="264">
        <v>1188</v>
      </c>
      <c r="J180" s="264">
        <v>29143</v>
      </c>
    </row>
    <row r="181" spans="1:10" ht="14.1" customHeight="1" x14ac:dyDescent="0.2">
      <c r="A181" s="278"/>
      <c r="B181" s="278"/>
      <c r="C181" s="278"/>
      <c r="D181" s="261" t="s">
        <v>91</v>
      </c>
      <c r="E181" s="264">
        <v>3</v>
      </c>
      <c r="F181" s="264">
        <v>18108</v>
      </c>
      <c r="G181" s="264">
        <v>54324</v>
      </c>
      <c r="H181" s="264">
        <v>1188</v>
      </c>
      <c r="I181" s="264">
        <v>3564</v>
      </c>
      <c r="J181" s="264">
        <v>50760</v>
      </c>
    </row>
    <row r="182" spans="1:10" ht="42.95" customHeight="1" x14ac:dyDescent="0.2">
      <c r="A182" s="278"/>
      <c r="B182" s="278"/>
      <c r="C182" s="277" t="s">
        <v>243</v>
      </c>
      <c r="D182" s="261" t="s">
        <v>87</v>
      </c>
      <c r="E182" s="264">
        <v>1</v>
      </c>
      <c r="F182" s="264">
        <v>12786</v>
      </c>
      <c r="G182" s="264">
        <v>12786</v>
      </c>
      <c r="H182" s="264">
        <v>2657</v>
      </c>
      <c r="I182" s="264">
        <v>2657</v>
      </c>
      <c r="J182" s="264">
        <v>10129</v>
      </c>
    </row>
    <row r="183" spans="1:10" ht="14.1" customHeight="1" x14ac:dyDescent="0.2">
      <c r="A183" s="278"/>
      <c r="B183" s="278"/>
      <c r="C183" s="278"/>
      <c r="D183" s="261" t="s">
        <v>84</v>
      </c>
      <c r="E183" s="264">
        <v>10</v>
      </c>
      <c r="F183" s="264">
        <v>9165</v>
      </c>
      <c r="G183" s="264">
        <v>91647</v>
      </c>
      <c r="H183" s="264">
        <v>2657</v>
      </c>
      <c r="I183" s="264">
        <v>26570</v>
      </c>
      <c r="J183" s="264">
        <v>65077</v>
      </c>
    </row>
    <row r="184" spans="1:10" ht="42.95" customHeight="1" x14ac:dyDescent="0.2">
      <c r="A184" s="278"/>
      <c r="B184" s="278"/>
      <c r="C184" s="277" t="s">
        <v>245</v>
      </c>
      <c r="D184" s="261" t="s">
        <v>92</v>
      </c>
      <c r="E184" s="264">
        <v>831</v>
      </c>
      <c r="F184" s="264">
        <v>31120</v>
      </c>
      <c r="G184" s="264">
        <v>25861072</v>
      </c>
      <c r="H184" s="264">
        <v>1978</v>
      </c>
      <c r="I184" s="264">
        <v>1643587</v>
      </c>
      <c r="J184" s="264">
        <v>24217486</v>
      </c>
    </row>
    <row r="185" spans="1:10" ht="14.1" customHeight="1" x14ac:dyDescent="0.2">
      <c r="A185" s="278"/>
      <c r="B185" s="278"/>
      <c r="C185" s="278"/>
      <c r="D185" s="261" t="s">
        <v>86</v>
      </c>
      <c r="E185" s="264">
        <v>1489</v>
      </c>
      <c r="F185" s="264">
        <v>18902</v>
      </c>
      <c r="G185" s="264">
        <v>28144378</v>
      </c>
      <c r="H185" s="264">
        <v>1978</v>
      </c>
      <c r="I185" s="264">
        <v>2945007</v>
      </c>
      <c r="J185" s="264">
        <v>25199371</v>
      </c>
    </row>
    <row r="186" spans="1:10" ht="14.1" customHeight="1" x14ac:dyDescent="0.2">
      <c r="A186" s="278"/>
      <c r="B186" s="278"/>
      <c r="C186" s="278"/>
      <c r="D186" s="261" t="s">
        <v>87</v>
      </c>
      <c r="E186" s="264">
        <v>1935</v>
      </c>
      <c r="F186" s="264">
        <v>12108</v>
      </c>
      <c r="G186" s="264">
        <v>23428280</v>
      </c>
      <c r="H186" s="264">
        <v>1978</v>
      </c>
      <c r="I186" s="264">
        <v>3827124</v>
      </c>
      <c r="J186" s="264">
        <v>19601156</v>
      </c>
    </row>
    <row r="187" spans="1:10" ht="14.1" customHeight="1" x14ac:dyDescent="0.2">
      <c r="A187" s="278"/>
      <c r="B187" s="278"/>
      <c r="C187" s="278"/>
      <c r="D187" s="261" t="s">
        <v>84</v>
      </c>
      <c r="E187" s="264">
        <v>2532</v>
      </c>
      <c r="F187" s="264">
        <v>8506</v>
      </c>
      <c r="G187" s="264">
        <v>21536350</v>
      </c>
      <c r="H187" s="264">
        <v>1978</v>
      </c>
      <c r="I187" s="264">
        <v>5007896</v>
      </c>
      <c r="J187" s="264">
        <v>16528454</v>
      </c>
    </row>
    <row r="188" spans="1:10" ht="14.1" customHeight="1" x14ac:dyDescent="0.2">
      <c r="A188" s="278"/>
      <c r="B188" s="278"/>
      <c r="C188" s="278"/>
      <c r="D188" s="261" t="s">
        <v>85</v>
      </c>
      <c r="E188" s="264">
        <v>438</v>
      </c>
      <c r="F188" s="264">
        <v>5774</v>
      </c>
      <c r="G188" s="264">
        <v>2528931</v>
      </c>
      <c r="H188" s="264">
        <v>1978</v>
      </c>
      <c r="I188" s="264">
        <v>866295</v>
      </c>
      <c r="J188" s="264">
        <v>1662636</v>
      </c>
    </row>
    <row r="189" spans="1:10" ht="14.1" customHeight="1" x14ac:dyDescent="0.2">
      <c r="A189" s="278"/>
      <c r="B189" s="278"/>
      <c r="C189" s="278"/>
      <c r="D189" s="261" t="s">
        <v>96</v>
      </c>
      <c r="E189" s="264">
        <v>770</v>
      </c>
      <c r="F189" s="264">
        <v>3520</v>
      </c>
      <c r="G189" s="264">
        <v>2710381</v>
      </c>
      <c r="H189" s="264">
        <v>1978</v>
      </c>
      <c r="I189" s="264">
        <v>1522938</v>
      </c>
      <c r="J189" s="264">
        <v>1187442</v>
      </c>
    </row>
    <row r="190" spans="1:10" ht="14.1" customHeight="1" x14ac:dyDescent="0.2">
      <c r="A190" s="278"/>
      <c r="B190" s="278"/>
      <c r="C190" s="278"/>
      <c r="D190" s="261" t="s">
        <v>88</v>
      </c>
      <c r="E190" s="264">
        <v>247</v>
      </c>
      <c r="F190" s="264">
        <v>2149</v>
      </c>
      <c r="G190" s="264">
        <v>530883</v>
      </c>
      <c r="H190" s="264">
        <v>1978</v>
      </c>
      <c r="I190" s="264">
        <v>488527</v>
      </c>
      <c r="J190" s="264">
        <v>42356</v>
      </c>
    </row>
    <row r="191" spans="1:10" ht="14.1" customHeight="1" x14ac:dyDescent="0.2">
      <c r="A191" s="278" t="s">
        <v>5</v>
      </c>
      <c r="B191" s="278" t="s">
        <v>60</v>
      </c>
      <c r="C191" s="278"/>
      <c r="D191" s="278"/>
      <c r="E191" s="264">
        <v>4369</v>
      </c>
      <c r="F191" s="264"/>
      <c r="G191" s="264">
        <v>87417987</v>
      </c>
      <c r="H191" s="264">
        <v>16641</v>
      </c>
      <c r="I191" s="264"/>
      <c r="J191" s="264">
        <v>81812123</v>
      </c>
    </row>
    <row r="192" spans="1:10" ht="14.1" customHeight="1" x14ac:dyDescent="0.2">
      <c r="A192" s="278"/>
      <c r="B192" s="261" t="s">
        <v>71</v>
      </c>
      <c r="C192" s="261" t="s">
        <v>72</v>
      </c>
      <c r="D192" s="261" t="s">
        <v>73</v>
      </c>
      <c r="E192" s="281">
        <v>1</v>
      </c>
      <c r="F192" s="281">
        <v>11382</v>
      </c>
      <c r="G192" s="281">
        <v>11382</v>
      </c>
      <c r="H192" s="281">
        <v>0</v>
      </c>
      <c r="I192" s="281">
        <v>0</v>
      </c>
      <c r="J192" s="281">
        <v>11382</v>
      </c>
    </row>
    <row r="193" spans="1:10" ht="14.1" customHeight="1" x14ac:dyDescent="0.2">
      <c r="A193" s="278"/>
      <c r="B193" s="279" t="s">
        <v>74</v>
      </c>
      <c r="C193" s="262" t="s">
        <v>75</v>
      </c>
      <c r="D193" s="261" t="s">
        <v>77</v>
      </c>
      <c r="E193" s="282"/>
      <c r="F193" s="282"/>
      <c r="G193" s="282"/>
      <c r="H193" s="282"/>
      <c r="I193" s="282"/>
      <c r="J193" s="282"/>
    </row>
    <row r="194" spans="1:10" ht="42.95" customHeight="1" x14ac:dyDescent="0.2">
      <c r="A194" s="278"/>
      <c r="B194" s="278"/>
      <c r="C194" s="263" t="s">
        <v>243</v>
      </c>
      <c r="D194" s="261" t="s">
        <v>79</v>
      </c>
      <c r="E194" s="264">
        <v>2</v>
      </c>
      <c r="F194" s="264">
        <v>12852</v>
      </c>
      <c r="G194" s="264">
        <v>25703</v>
      </c>
      <c r="H194" s="264">
        <v>2657</v>
      </c>
      <c r="I194" s="264">
        <v>5314</v>
      </c>
      <c r="J194" s="264">
        <v>20389</v>
      </c>
    </row>
    <row r="195" spans="1:10" ht="42.95" customHeight="1" x14ac:dyDescent="0.2">
      <c r="A195" s="278"/>
      <c r="B195" s="278"/>
      <c r="C195" s="263" t="s">
        <v>245</v>
      </c>
      <c r="D195" s="261" t="s">
        <v>79</v>
      </c>
      <c r="E195" s="264">
        <v>1798</v>
      </c>
      <c r="F195" s="264">
        <v>12172</v>
      </c>
      <c r="G195" s="264">
        <v>21886060</v>
      </c>
      <c r="H195" s="264">
        <v>1978</v>
      </c>
      <c r="I195" s="264">
        <v>3556160</v>
      </c>
      <c r="J195" s="264">
        <v>18329900</v>
      </c>
    </row>
    <row r="196" spans="1:10" ht="42.95" customHeight="1" x14ac:dyDescent="0.2">
      <c r="A196" s="278"/>
      <c r="B196" s="265" t="s">
        <v>89</v>
      </c>
      <c r="C196" s="263" t="s">
        <v>245</v>
      </c>
      <c r="D196" s="261" t="s">
        <v>90</v>
      </c>
      <c r="E196" s="264">
        <v>1</v>
      </c>
      <c r="F196" s="264">
        <v>7696</v>
      </c>
      <c r="G196" s="264">
        <v>7696</v>
      </c>
      <c r="H196" s="264">
        <v>827</v>
      </c>
      <c r="I196" s="264">
        <v>827</v>
      </c>
      <c r="J196" s="264">
        <v>6869</v>
      </c>
    </row>
    <row r="197" spans="1:10" ht="42.95" customHeight="1" x14ac:dyDescent="0.2">
      <c r="A197" s="278"/>
      <c r="B197" s="277" t="s">
        <v>246</v>
      </c>
      <c r="C197" s="280" t="s">
        <v>75</v>
      </c>
      <c r="D197" s="261" t="s">
        <v>99</v>
      </c>
      <c r="E197" s="264">
        <v>2</v>
      </c>
      <c r="F197" s="264">
        <v>30330</v>
      </c>
      <c r="G197" s="264">
        <v>60661</v>
      </c>
      <c r="H197" s="264">
        <v>0</v>
      </c>
      <c r="I197" s="264">
        <v>0</v>
      </c>
      <c r="J197" s="264">
        <v>60661</v>
      </c>
    </row>
    <row r="198" spans="1:10" ht="14.1" customHeight="1" x14ac:dyDescent="0.2">
      <c r="A198" s="278"/>
      <c r="B198" s="278"/>
      <c r="C198" s="278"/>
      <c r="D198" s="261" t="s">
        <v>76</v>
      </c>
      <c r="E198" s="264">
        <v>24</v>
      </c>
      <c r="F198" s="264">
        <v>36385</v>
      </c>
      <c r="G198" s="264">
        <v>873249</v>
      </c>
      <c r="H198" s="264">
        <v>0</v>
      </c>
      <c r="I198" s="264">
        <v>0</v>
      </c>
      <c r="J198" s="264">
        <v>873249</v>
      </c>
    </row>
    <row r="199" spans="1:10" ht="42.95" customHeight="1" x14ac:dyDescent="0.2">
      <c r="A199" s="278"/>
      <c r="B199" s="278"/>
      <c r="C199" s="277" t="s">
        <v>243</v>
      </c>
      <c r="D199" s="261" t="s">
        <v>83</v>
      </c>
      <c r="E199" s="264">
        <v>4</v>
      </c>
      <c r="F199" s="264">
        <v>3452</v>
      </c>
      <c r="G199" s="264">
        <v>13807</v>
      </c>
      <c r="H199" s="264">
        <v>1469</v>
      </c>
      <c r="I199" s="264">
        <v>5877</v>
      </c>
      <c r="J199" s="264">
        <v>7931</v>
      </c>
    </row>
    <row r="200" spans="1:10" ht="14.1" customHeight="1" x14ac:dyDescent="0.2">
      <c r="A200" s="278"/>
      <c r="B200" s="278"/>
      <c r="C200" s="278"/>
      <c r="D200" s="261" t="s">
        <v>86</v>
      </c>
      <c r="E200" s="264">
        <v>1</v>
      </c>
      <c r="F200" s="264">
        <v>19577</v>
      </c>
      <c r="G200" s="264">
        <v>19577</v>
      </c>
      <c r="H200" s="264">
        <v>1469</v>
      </c>
      <c r="I200" s="264">
        <v>1469</v>
      </c>
      <c r="J200" s="264">
        <v>18108</v>
      </c>
    </row>
    <row r="201" spans="1:10" ht="14.1" customHeight="1" x14ac:dyDescent="0.2">
      <c r="A201" s="278"/>
      <c r="B201" s="278"/>
      <c r="C201" s="278"/>
      <c r="D201" s="261" t="s">
        <v>78</v>
      </c>
      <c r="E201" s="264">
        <v>47</v>
      </c>
      <c r="F201" s="264">
        <v>37855</v>
      </c>
      <c r="G201" s="264">
        <v>1779163</v>
      </c>
      <c r="H201" s="264">
        <v>1469</v>
      </c>
      <c r="I201" s="264">
        <v>69051</v>
      </c>
      <c r="J201" s="264">
        <v>1710112</v>
      </c>
    </row>
    <row r="202" spans="1:10" ht="42.95" customHeight="1" x14ac:dyDescent="0.2">
      <c r="A202" s="278"/>
      <c r="B202" s="278"/>
      <c r="C202" s="263" t="s">
        <v>244</v>
      </c>
      <c r="D202" s="261" t="s">
        <v>154</v>
      </c>
      <c r="E202" s="264">
        <v>2</v>
      </c>
      <c r="F202" s="264">
        <v>6542</v>
      </c>
      <c r="G202" s="264">
        <v>13085</v>
      </c>
      <c r="H202" s="264">
        <v>1242</v>
      </c>
      <c r="I202" s="264">
        <v>2484</v>
      </c>
      <c r="J202" s="264">
        <v>10601</v>
      </c>
    </row>
    <row r="203" spans="1:10" ht="42.95" customHeight="1" x14ac:dyDescent="0.2">
      <c r="A203" s="278"/>
      <c r="B203" s="278"/>
      <c r="C203" s="277" t="s">
        <v>245</v>
      </c>
      <c r="D203" s="261" t="s">
        <v>83</v>
      </c>
      <c r="E203" s="264">
        <v>537</v>
      </c>
      <c r="F203" s="264">
        <v>2773</v>
      </c>
      <c r="G203" s="264">
        <v>1488908</v>
      </c>
      <c r="H203" s="264">
        <v>790</v>
      </c>
      <c r="I203" s="264">
        <v>424220</v>
      </c>
      <c r="J203" s="264">
        <v>1064688</v>
      </c>
    </row>
    <row r="204" spans="1:10" ht="14.1" customHeight="1" x14ac:dyDescent="0.2">
      <c r="A204" s="278"/>
      <c r="B204" s="278"/>
      <c r="C204" s="278"/>
      <c r="D204" s="261" t="s">
        <v>92</v>
      </c>
      <c r="E204" s="264">
        <v>200</v>
      </c>
      <c r="F204" s="264">
        <v>31120</v>
      </c>
      <c r="G204" s="264">
        <v>6224085</v>
      </c>
      <c r="H204" s="264">
        <v>790</v>
      </c>
      <c r="I204" s="264">
        <v>157996</v>
      </c>
      <c r="J204" s="264">
        <v>6066089</v>
      </c>
    </row>
    <row r="205" spans="1:10" ht="14.1" customHeight="1" x14ac:dyDescent="0.2">
      <c r="A205" s="278"/>
      <c r="B205" s="278"/>
      <c r="C205" s="278"/>
      <c r="D205" s="261" t="s">
        <v>86</v>
      </c>
      <c r="E205" s="264">
        <v>485</v>
      </c>
      <c r="F205" s="264">
        <v>18898</v>
      </c>
      <c r="G205" s="264">
        <v>9165472</v>
      </c>
      <c r="H205" s="264">
        <v>790</v>
      </c>
      <c r="I205" s="264">
        <v>383141</v>
      </c>
      <c r="J205" s="264">
        <v>8782331</v>
      </c>
    </row>
    <row r="206" spans="1:10" ht="14.1" customHeight="1" x14ac:dyDescent="0.2">
      <c r="A206" s="278"/>
      <c r="B206" s="278"/>
      <c r="C206" s="278"/>
      <c r="D206" s="261" t="s">
        <v>87</v>
      </c>
      <c r="E206" s="264">
        <v>16</v>
      </c>
      <c r="F206" s="264">
        <v>12107</v>
      </c>
      <c r="G206" s="264">
        <v>193711</v>
      </c>
      <c r="H206" s="264">
        <v>790</v>
      </c>
      <c r="I206" s="264">
        <v>12640</v>
      </c>
      <c r="J206" s="264">
        <v>181071</v>
      </c>
    </row>
    <row r="207" spans="1:10" ht="14.1" customHeight="1" x14ac:dyDescent="0.2">
      <c r="A207" s="278"/>
      <c r="B207" s="278"/>
      <c r="C207" s="278"/>
      <c r="D207" s="261" t="s">
        <v>84</v>
      </c>
      <c r="E207" s="264">
        <v>26</v>
      </c>
      <c r="F207" s="264">
        <v>8486</v>
      </c>
      <c r="G207" s="264">
        <v>220624</v>
      </c>
      <c r="H207" s="264">
        <v>790</v>
      </c>
      <c r="I207" s="264">
        <v>20539</v>
      </c>
      <c r="J207" s="264">
        <v>200085</v>
      </c>
    </row>
    <row r="208" spans="1:10" ht="14.1" customHeight="1" x14ac:dyDescent="0.2">
      <c r="A208" s="278"/>
      <c r="B208" s="278"/>
      <c r="C208" s="278"/>
      <c r="D208" s="261" t="s">
        <v>78</v>
      </c>
      <c r="E208" s="264">
        <v>1222</v>
      </c>
      <c r="F208" s="264">
        <v>37175</v>
      </c>
      <c r="G208" s="264">
        <v>45428262</v>
      </c>
      <c r="H208" s="264">
        <v>790</v>
      </c>
      <c r="I208" s="264">
        <v>965356</v>
      </c>
      <c r="J208" s="264">
        <v>44462906</v>
      </c>
    </row>
    <row r="209" spans="1:10" ht="14.1" customHeight="1" x14ac:dyDescent="0.2">
      <c r="A209" s="278"/>
      <c r="B209" s="278"/>
      <c r="C209" s="278"/>
      <c r="D209" s="261" t="s">
        <v>154</v>
      </c>
      <c r="E209" s="264">
        <v>1</v>
      </c>
      <c r="F209" s="264">
        <v>6542</v>
      </c>
      <c r="G209" s="264">
        <v>6542</v>
      </c>
      <c r="H209" s="264">
        <v>790</v>
      </c>
      <c r="I209" s="264">
        <v>790</v>
      </c>
      <c r="J209" s="264">
        <v>5752</v>
      </c>
    </row>
    <row r="210" spans="1:10" ht="29.1" customHeight="1" x14ac:dyDescent="0.2">
      <c r="A210" s="277" t="s">
        <v>248</v>
      </c>
      <c r="B210" s="278" t="s">
        <v>60</v>
      </c>
      <c r="C210" s="278"/>
      <c r="D210" s="278"/>
      <c r="E210" s="264">
        <v>28219</v>
      </c>
      <c r="F210" s="264"/>
      <c r="G210" s="264">
        <v>405571091</v>
      </c>
      <c r="H210" s="264">
        <v>71579</v>
      </c>
      <c r="I210" s="264"/>
      <c r="J210" s="264">
        <v>363154122</v>
      </c>
    </row>
    <row r="211" spans="1:10" ht="14.1" customHeight="1" x14ac:dyDescent="0.2">
      <c r="A211" s="278"/>
      <c r="B211" s="261" t="s">
        <v>71</v>
      </c>
      <c r="C211" s="261" t="s">
        <v>72</v>
      </c>
      <c r="D211" s="261" t="s">
        <v>73</v>
      </c>
      <c r="E211" s="281">
        <v>7</v>
      </c>
      <c r="F211" s="281">
        <v>11382</v>
      </c>
      <c r="G211" s="281">
        <v>79677</v>
      </c>
      <c r="H211" s="281">
        <v>0</v>
      </c>
      <c r="I211" s="281">
        <v>0</v>
      </c>
      <c r="J211" s="281">
        <v>79677</v>
      </c>
    </row>
    <row r="212" spans="1:10" ht="14.1" customHeight="1" x14ac:dyDescent="0.2">
      <c r="A212" s="278"/>
      <c r="B212" s="279" t="s">
        <v>74</v>
      </c>
      <c r="C212" s="262" t="s">
        <v>75</v>
      </c>
      <c r="D212" s="261" t="s">
        <v>77</v>
      </c>
      <c r="E212" s="282"/>
      <c r="F212" s="282"/>
      <c r="G212" s="282"/>
      <c r="H212" s="282"/>
      <c r="I212" s="282"/>
      <c r="J212" s="282"/>
    </row>
    <row r="213" spans="1:10" ht="42.95" customHeight="1" x14ac:dyDescent="0.2">
      <c r="A213" s="278"/>
      <c r="B213" s="278"/>
      <c r="C213" s="263" t="s">
        <v>243</v>
      </c>
      <c r="D213" s="261" t="s">
        <v>79</v>
      </c>
      <c r="E213" s="264">
        <v>6</v>
      </c>
      <c r="F213" s="264">
        <v>12852</v>
      </c>
      <c r="G213" s="264">
        <v>77110</v>
      </c>
      <c r="H213" s="264">
        <v>2657</v>
      </c>
      <c r="I213" s="264">
        <v>15942</v>
      </c>
      <c r="J213" s="264">
        <v>61168</v>
      </c>
    </row>
    <row r="214" spans="1:10" ht="42.95" customHeight="1" x14ac:dyDescent="0.2">
      <c r="A214" s="278"/>
      <c r="B214" s="278"/>
      <c r="C214" s="263" t="s">
        <v>245</v>
      </c>
      <c r="D214" s="261" t="s">
        <v>79</v>
      </c>
      <c r="E214" s="264">
        <v>1559</v>
      </c>
      <c r="F214" s="264">
        <v>12172</v>
      </c>
      <c r="G214" s="264">
        <v>18976845</v>
      </c>
      <c r="H214" s="264">
        <v>1978</v>
      </c>
      <c r="I214" s="264">
        <v>3083456</v>
      </c>
      <c r="J214" s="264">
        <v>15893389</v>
      </c>
    </row>
    <row r="215" spans="1:10" ht="42.95" customHeight="1" x14ac:dyDescent="0.2">
      <c r="A215" s="278"/>
      <c r="B215" s="279" t="s">
        <v>89</v>
      </c>
      <c r="C215" s="277" t="s">
        <v>243</v>
      </c>
      <c r="D215" s="261" t="s">
        <v>94</v>
      </c>
      <c r="E215" s="264">
        <v>1</v>
      </c>
      <c r="F215" s="264">
        <v>0</v>
      </c>
      <c r="G215" s="264">
        <v>0</v>
      </c>
      <c r="H215" s="264">
        <v>0</v>
      </c>
      <c r="I215" s="264">
        <v>0</v>
      </c>
      <c r="J215" s="264">
        <v>0</v>
      </c>
    </row>
    <row r="216" spans="1:10" ht="14.1" customHeight="1" x14ac:dyDescent="0.2">
      <c r="A216" s="278"/>
      <c r="B216" s="278"/>
      <c r="C216" s="278"/>
      <c r="D216" s="261" t="s">
        <v>84</v>
      </c>
      <c r="E216" s="264">
        <v>11</v>
      </c>
      <c r="F216" s="264">
        <v>9165</v>
      </c>
      <c r="G216" s="264">
        <v>100812</v>
      </c>
      <c r="H216" s="264">
        <v>2296</v>
      </c>
      <c r="I216" s="264">
        <v>25258</v>
      </c>
      <c r="J216" s="264">
        <v>75554</v>
      </c>
    </row>
    <row r="217" spans="1:10" ht="14.1" customHeight="1" x14ac:dyDescent="0.2">
      <c r="A217" s="278"/>
      <c r="B217" s="278"/>
      <c r="C217" s="278"/>
      <c r="D217" s="261" t="s">
        <v>105</v>
      </c>
      <c r="E217" s="264">
        <v>41</v>
      </c>
      <c r="F217" s="264">
        <v>9435</v>
      </c>
      <c r="G217" s="264">
        <v>386854</v>
      </c>
      <c r="H217" s="264">
        <v>2567</v>
      </c>
      <c r="I217" s="264">
        <v>105244</v>
      </c>
      <c r="J217" s="264">
        <v>281610</v>
      </c>
    </row>
    <row r="218" spans="1:10" ht="42.95" customHeight="1" x14ac:dyDescent="0.2">
      <c r="A218" s="278"/>
      <c r="B218" s="278"/>
      <c r="C218" s="277" t="s">
        <v>245</v>
      </c>
      <c r="D218" s="261" t="s">
        <v>94</v>
      </c>
      <c r="E218" s="264">
        <v>6</v>
      </c>
      <c r="F218" s="264">
        <v>0</v>
      </c>
      <c r="G218" s="264">
        <v>0</v>
      </c>
      <c r="H218" s="264">
        <v>0</v>
      </c>
      <c r="I218" s="264">
        <v>0</v>
      </c>
      <c r="J218" s="264">
        <v>0</v>
      </c>
    </row>
    <row r="219" spans="1:10" ht="14.1" customHeight="1" x14ac:dyDescent="0.2">
      <c r="A219" s="278"/>
      <c r="B219" s="278"/>
      <c r="C219" s="278"/>
      <c r="D219" s="261" t="s">
        <v>84</v>
      </c>
      <c r="E219" s="264">
        <v>6501</v>
      </c>
      <c r="F219" s="264">
        <v>8486</v>
      </c>
      <c r="G219" s="264">
        <v>55164555</v>
      </c>
      <c r="H219" s="264">
        <v>1617</v>
      </c>
      <c r="I219" s="264">
        <v>10512230</v>
      </c>
      <c r="J219" s="264">
        <v>44652325</v>
      </c>
    </row>
    <row r="220" spans="1:10" ht="14.1" customHeight="1" x14ac:dyDescent="0.2">
      <c r="A220" s="278"/>
      <c r="B220" s="278"/>
      <c r="C220" s="278"/>
      <c r="D220" s="261" t="s">
        <v>90</v>
      </c>
      <c r="E220" s="264">
        <v>5</v>
      </c>
      <c r="F220" s="264">
        <v>7696</v>
      </c>
      <c r="G220" s="264">
        <v>38478</v>
      </c>
      <c r="H220" s="264">
        <v>827</v>
      </c>
      <c r="I220" s="264">
        <v>4135</v>
      </c>
      <c r="J220" s="264">
        <v>34343</v>
      </c>
    </row>
    <row r="221" spans="1:10" ht="14.1" customHeight="1" x14ac:dyDescent="0.2">
      <c r="A221" s="278"/>
      <c r="B221" s="278"/>
      <c r="C221" s="278"/>
      <c r="D221" s="261" t="s">
        <v>105</v>
      </c>
      <c r="E221" s="264">
        <v>124</v>
      </c>
      <c r="F221" s="264">
        <v>8756</v>
      </c>
      <c r="G221" s="264">
        <v>1085776</v>
      </c>
      <c r="H221" s="264">
        <v>1888</v>
      </c>
      <c r="I221" s="264">
        <v>234079</v>
      </c>
      <c r="J221" s="264">
        <v>851698</v>
      </c>
    </row>
    <row r="222" spans="1:10" ht="42.95" customHeight="1" x14ac:dyDescent="0.2">
      <c r="A222" s="278"/>
      <c r="B222" s="277" t="s">
        <v>246</v>
      </c>
      <c r="C222" s="280" t="s">
        <v>75</v>
      </c>
      <c r="D222" s="261" t="s">
        <v>91</v>
      </c>
      <c r="E222" s="264">
        <v>9</v>
      </c>
      <c r="F222" s="264">
        <v>18108</v>
      </c>
      <c r="G222" s="264">
        <v>162971</v>
      </c>
      <c r="H222" s="264">
        <v>0</v>
      </c>
      <c r="I222" s="264">
        <v>0</v>
      </c>
      <c r="J222" s="264">
        <v>162971</v>
      </c>
    </row>
    <row r="223" spans="1:10" ht="14.1" customHeight="1" x14ac:dyDescent="0.2">
      <c r="A223" s="278"/>
      <c r="B223" s="278"/>
      <c r="C223" s="278"/>
      <c r="D223" s="261" t="s">
        <v>97</v>
      </c>
      <c r="E223" s="264">
        <v>1</v>
      </c>
      <c r="F223" s="264">
        <v>11317</v>
      </c>
      <c r="G223" s="264">
        <v>11317</v>
      </c>
      <c r="H223" s="264">
        <v>0</v>
      </c>
      <c r="I223" s="264">
        <v>0</v>
      </c>
      <c r="J223" s="264">
        <v>11317</v>
      </c>
    </row>
    <row r="224" spans="1:10" ht="14.1" customHeight="1" x14ac:dyDescent="0.2">
      <c r="A224" s="278"/>
      <c r="B224" s="278"/>
      <c r="C224" s="278"/>
      <c r="D224" s="261" t="s">
        <v>90</v>
      </c>
      <c r="E224" s="264">
        <v>16</v>
      </c>
      <c r="F224" s="264">
        <v>7696</v>
      </c>
      <c r="G224" s="264">
        <v>123129</v>
      </c>
      <c r="H224" s="264">
        <v>0</v>
      </c>
      <c r="I224" s="264">
        <v>0</v>
      </c>
      <c r="J224" s="264">
        <v>123129</v>
      </c>
    </row>
    <row r="225" spans="1:10" ht="14.1" customHeight="1" x14ac:dyDescent="0.2">
      <c r="A225" s="278"/>
      <c r="B225" s="278"/>
      <c r="C225" s="278"/>
      <c r="D225" s="261" t="s">
        <v>98</v>
      </c>
      <c r="E225" s="264">
        <v>1</v>
      </c>
      <c r="F225" s="264">
        <v>2717</v>
      </c>
      <c r="G225" s="264">
        <v>2717</v>
      </c>
      <c r="H225" s="264">
        <v>0</v>
      </c>
      <c r="I225" s="264">
        <v>0</v>
      </c>
      <c r="J225" s="264">
        <v>2717</v>
      </c>
    </row>
    <row r="226" spans="1:10" ht="14.1" customHeight="1" x14ac:dyDescent="0.2">
      <c r="A226" s="278"/>
      <c r="B226" s="278"/>
      <c r="C226" s="278"/>
      <c r="D226" s="261" t="s">
        <v>76</v>
      </c>
      <c r="E226" s="264">
        <v>5</v>
      </c>
      <c r="F226" s="264">
        <v>36385</v>
      </c>
      <c r="G226" s="264">
        <v>181927</v>
      </c>
      <c r="H226" s="264">
        <v>0</v>
      </c>
      <c r="I226" s="264">
        <v>0</v>
      </c>
      <c r="J226" s="264">
        <v>181927</v>
      </c>
    </row>
    <row r="227" spans="1:10" ht="14.1" customHeight="1" x14ac:dyDescent="0.2">
      <c r="A227" s="278"/>
      <c r="B227" s="278"/>
      <c r="C227" s="278"/>
      <c r="D227" s="261" t="s">
        <v>151</v>
      </c>
      <c r="E227" s="264">
        <v>10</v>
      </c>
      <c r="F227" s="264">
        <v>5752</v>
      </c>
      <c r="G227" s="264">
        <v>57524</v>
      </c>
      <c r="H227" s="264">
        <v>0</v>
      </c>
      <c r="I227" s="264">
        <v>0</v>
      </c>
      <c r="J227" s="264">
        <v>57524</v>
      </c>
    </row>
    <row r="228" spans="1:10" ht="42.95" customHeight="1" x14ac:dyDescent="0.2">
      <c r="A228" s="278"/>
      <c r="B228" s="278"/>
      <c r="C228" s="277" t="s">
        <v>243</v>
      </c>
      <c r="D228" s="261" t="s">
        <v>83</v>
      </c>
      <c r="E228" s="264">
        <v>13</v>
      </c>
      <c r="F228" s="264">
        <v>3452</v>
      </c>
      <c r="G228" s="264">
        <v>44874</v>
      </c>
      <c r="H228" s="264">
        <v>1469</v>
      </c>
      <c r="I228" s="264">
        <v>19099</v>
      </c>
      <c r="J228" s="264">
        <v>25775</v>
      </c>
    </row>
    <row r="229" spans="1:10" ht="14.1" customHeight="1" x14ac:dyDescent="0.2">
      <c r="A229" s="278"/>
      <c r="B229" s="278"/>
      <c r="C229" s="278"/>
      <c r="D229" s="261" t="s">
        <v>86</v>
      </c>
      <c r="E229" s="264">
        <v>3</v>
      </c>
      <c r="F229" s="264">
        <v>19577</v>
      </c>
      <c r="G229" s="264">
        <v>58731</v>
      </c>
      <c r="H229" s="264">
        <v>1469</v>
      </c>
      <c r="I229" s="264">
        <v>4408</v>
      </c>
      <c r="J229" s="264">
        <v>54324</v>
      </c>
    </row>
    <row r="230" spans="1:10" ht="14.1" customHeight="1" x14ac:dyDescent="0.2">
      <c r="A230" s="278"/>
      <c r="B230" s="278"/>
      <c r="C230" s="278"/>
      <c r="D230" s="261" t="s">
        <v>84</v>
      </c>
      <c r="E230" s="264">
        <v>24</v>
      </c>
      <c r="F230" s="264">
        <v>9165</v>
      </c>
      <c r="G230" s="264">
        <v>219954</v>
      </c>
      <c r="H230" s="264">
        <v>1469</v>
      </c>
      <c r="I230" s="264">
        <v>35260</v>
      </c>
      <c r="J230" s="264">
        <v>184694</v>
      </c>
    </row>
    <row r="231" spans="1:10" ht="14.1" customHeight="1" x14ac:dyDescent="0.2">
      <c r="A231" s="278"/>
      <c r="B231" s="278"/>
      <c r="C231" s="278"/>
      <c r="D231" s="261" t="s">
        <v>78</v>
      </c>
      <c r="E231" s="264">
        <v>21</v>
      </c>
      <c r="F231" s="264">
        <v>37855</v>
      </c>
      <c r="G231" s="264">
        <v>794945</v>
      </c>
      <c r="H231" s="264">
        <v>1469</v>
      </c>
      <c r="I231" s="264">
        <v>30853</v>
      </c>
      <c r="J231" s="264">
        <v>764092</v>
      </c>
    </row>
    <row r="232" spans="1:10" ht="14.1" customHeight="1" x14ac:dyDescent="0.2">
      <c r="A232" s="278"/>
      <c r="B232" s="278"/>
      <c r="C232" s="278"/>
      <c r="D232" s="261" t="s">
        <v>153</v>
      </c>
      <c r="E232" s="264">
        <v>41</v>
      </c>
      <c r="F232" s="264">
        <v>5831</v>
      </c>
      <c r="G232" s="264">
        <v>239088</v>
      </c>
      <c r="H232" s="264">
        <v>1469</v>
      </c>
      <c r="I232" s="264">
        <v>60236</v>
      </c>
      <c r="J232" s="264">
        <v>178852</v>
      </c>
    </row>
    <row r="233" spans="1:10" ht="14.1" customHeight="1" x14ac:dyDescent="0.2">
      <c r="A233" s="278"/>
      <c r="B233" s="278"/>
      <c r="C233" s="278"/>
      <c r="D233" s="261" t="s">
        <v>154</v>
      </c>
      <c r="E233" s="264">
        <v>21</v>
      </c>
      <c r="F233" s="264">
        <v>7222</v>
      </c>
      <c r="G233" s="264">
        <v>151653</v>
      </c>
      <c r="H233" s="264">
        <v>1469</v>
      </c>
      <c r="I233" s="264">
        <v>30853</v>
      </c>
      <c r="J233" s="264">
        <v>120801</v>
      </c>
    </row>
    <row r="234" spans="1:10" ht="42.95" customHeight="1" x14ac:dyDescent="0.2">
      <c r="A234" s="278"/>
      <c r="B234" s="278"/>
      <c r="C234" s="263" t="s">
        <v>244</v>
      </c>
      <c r="D234" s="261" t="s">
        <v>84</v>
      </c>
      <c r="E234" s="264">
        <v>62</v>
      </c>
      <c r="F234" s="264">
        <v>8558</v>
      </c>
      <c r="G234" s="264">
        <v>530622</v>
      </c>
      <c r="H234" s="264">
        <v>1242</v>
      </c>
      <c r="I234" s="264">
        <v>76992</v>
      </c>
      <c r="J234" s="264">
        <v>453630</v>
      </c>
    </row>
    <row r="235" spans="1:10" ht="42.95" customHeight="1" x14ac:dyDescent="0.2">
      <c r="A235" s="278"/>
      <c r="B235" s="278"/>
      <c r="C235" s="277" t="s">
        <v>245</v>
      </c>
      <c r="D235" s="261" t="s">
        <v>83</v>
      </c>
      <c r="E235" s="264">
        <v>286</v>
      </c>
      <c r="F235" s="264">
        <v>2773</v>
      </c>
      <c r="G235" s="264">
        <v>792975</v>
      </c>
      <c r="H235" s="264">
        <v>790</v>
      </c>
      <c r="I235" s="264">
        <v>225934</v>
      </c>
      <c r="J235" s="264">
        <v>567040</v>
      </c>
    </row>
    <row r="236" spans="1:10" ht="14.1" customHeight="1" x14ac:dyDescent="0.2">
      <c r="A236" s="278"/>
      <c r="B236" s="278"/>
      <c r="C236" s="278"/>
      <c r="D236" s="261" t="s">
        <v>118</v>
      </c>
      <c r="E236" s="264">
        <v>6</v>
      </c>
      <c r="F236" s="264">
        <v>51490</v>
      </c>
      <c r="G236" s="264">
        <v>308942</v>
      </c>
      <c r="H236" s="264">
        <v>790</v>
      </c>
      <c r="I236" s="264">
        <v>4740</v>
      </c>
      <c r="J236" s="264">
        <v>304202</v>
      </c>
    </row>
    <row r="237" spans="1:10" ht="14.1" customHeight="1" x14ac:dyDescent="0.2">
      <c r="A237" s="278"/>
      <c r="B237" s="278"/>
      <c r="C237" s="278"/>
      <c r="D237" s="261" t="s">
        <v>92</v>
      </c>
      <c r="E237" s="264">
        <v>1135</v>
      </c>
      <c r="F237" s="264">
        <v>31120</v>
      </c>
      <c r="G237" s="264">
        <v>35321681</v>
      </c>
      <c r="H237" s="264">
        <v>790</v>
      </c>
      <c r="I237" s="264">
        <v>896628</v>
      </c>
      <c r="J237" s="264">
        <v>34425053</v>
      </c>
    </row>
    <row r="238" spans="1:10" ht="14.1" customHeight="1" x14ac:dyDescent="0.2">
      <c r="A238" s="278"/>
      <c r="B238" s="278"/>
      <c r="C238" s="278"/>
      <c r="D238" s="261" t="s">
        <v>86</v>
      </c>
      <c r="E238" s="264">
        <v>1912</v>
      </c>
      <c r="F238" s="264">
        <v>18898</v>
      </c>
      <c r="G238" s="264">
        <v>36132748</v>
      </c>
      <c r="H238" s="264">
        <v>790</v>
      </c>
      <c r="I238" s="264">
        <v>1510443</v>
      </c>
      <c r="J238" s="264">
        <v>34622304</v>
      </c>
    </row>
    <row r="239" spans="1:10" ht="14.1" customHeight="1" x14ac:dyDescent="0.2">
      <c r="A239" s="278"/>
      <c r="B239" s="278"/>
      <c r="C239" s="278"/>
      <c r="D239" s="261" t="s">
        <v>87</v>
      </c>
      <c r="E239" s="264">
        <v>146</v>
      </c>
      <c r="F239" s="264">
        <v>12107</v>
      </c>
      <c r="G239" s="264">
        <v>1767613</v>
      </c>
      <c r="H239" s="264">
        <v>790</v>
      </c>
      <c r="I239" s="264">
        <v>115337</v>
      </c>
      <c r="J239" s="264">
        <v>1652276</v>
      </c>
    </row>
    <row r="240" spans="1:10" ht="14.1" customHeight="1" x14ac:dyDescent="0.2">
      <c r="A240" s="278"/>
      <c r="B240" s="278"/>
      <c r="C240" s="278"/>
      <c r="D240" s="261" t="s">
        <v>84</v>
      </c>
      <c r="E240" s="264">
        <v>1024</v>
      </c>
      <c r="F240" s="264">
        <v>8486</v>
      </c>
      <c r="G240" s="264">
        <v>8689202</v>
      </c>
      <c r="H240" s="264">
        <v>790</v>
      </c>
      <c r="I240" s="264">
        <v>808940</v>
      </c>
      <c r="J240" s="264">
        <v>7880262</v>
      </c>
    </row>
    <row r="241" spans="1:10" ht="14.1" customHeight="1" x14ac:dyDescent="0.2">
      <c r="A241" s="278"/>
      <c r="B241" s="278"/>
      <c r="C241" s="278"/>
      <c r="D241" s="261" t="s">
        <v>85</v>
      </c>
      <c r="E241" s="264">
        <v>4</v>
      </c>
      <c r="F241" s="264">
        <v>5771</v>
      </c>
      <c r="G241" s="264">
        <v>23083</v>
      </c>
      <c r="H241" s="264">
        <v>790</v>
      </c>
      <c r="I241" s="264">
        <v>3160</v>
      </c>
      <c r="J241" s="264">
        <v>19923</v>
      </c>
    </row>
    <row r="242" spans="1:10" ht="14.1" customHeight="1" x14ac:dyDescent="0.2">
      <c r="A242" s="278"/>
      <c r="B242" s="278"/>
      <c r="C242" s="278"/>
      <c r="D242" s="261" t="s">
        <v>96</v>
      </c>
      <c r="E242" s="264">
        <v>77</v>
      </c>
      <c r="F242" s="264">
        <v>3507</v>
      </c>
      <c r="G242" s="264">
        <v>270019</v>
      </c>
      <c r="H242" s="264">
        <v>790</v>
      </c>
      <c r="I242" s="264">
        <v>60829</v>
      </c>
      <c r="J242" s="264">
        <v>209191</v>
      </c>
    </row>
    <row r="243" spans="1:10" ht="14.1" customHeight="1" x14ac:dyDescent="0.2">
      <c r="A243" s="278"/>
      <c r="B243" s="278"/>
      <c r="C243" s="278"/>
      <c r="D243" s="261" t="s">
        <v>88</v>
      </c>
      <c r="E243" s="264">
        <v>21</v>
      </c>
      <c r="F243" s="264">
        <v>2149</v>
      </c>
      <c r="G243" s="264">
        <v>45136</v>
      </c>
      <c r="H243" s="264">
        <v>790</v>
      </c>
      <c r="I243" s="264">
        <v>16590</v>
      </c>
      <c r="J243" s="264">
        <v>28546</v>
      </c>
    </row>
    <row r="244" spans="1:10" ht="14.1" customHeight="1" x14ac:dyDescent="0.2">
      <c r="A244" s="278"/>
      <c r="B244" s="278"/>
      <c r="C244" s="278"/>
      <c r="D244" s="261" t="s">
        <v>106</v>
      </c>
      <c r="E244" s="264">
        <v>3</v>
      </c>
      <c r="F244" s="264">
        <v>1401</v>
      </c>
      <c r="G244" s="264">
        <v>4202</v>
      </c>
      <c r="H244" s="264">
        <v>790</v>
      </c>
      <c r="I244" s="264">
        <v>2370</v>
      </c>
      <c r="J244" s="264">
        <v>1832</v>
      </c>
    </row>
    <row r="245" spans="1:10" ht="14.1" customHeight="1" x14ac:dyDescent="0.2">
      <c r="A245" s="278"/>
      <c r="B245" s="278"/>
      <c r="C245" s="278"/>
      <c r="D245" s="261" t="s">
        <v>78</v>
      </c>
      <c r="E245" s="264">
        <v>2605</v>
      </c>
      <c r="F245" s="264">
        <v>37175</v>
      </c>
      <c r="G245" s="264">
        <v>96841753</v>
      </c>
      <c r="H245" s="264">
        <v>790</v>
      </c>
      <c r="I245" s="264">
        <v>2057900</v>
      </c>
      <c r="J245" s="264">
        <v>94783854</v>
      </c>
    </row>
    <row r="246" spans="1:10" ht="14.1" customHeight="1" x14ac:dyDescent="0.2">
      <c r="A246" s="278"/>
      <c r="B246" s="278"/>
      <c r="C246" s="278"/>
      <c r="D246" s="261" t="s">
        <v>153</v>
      </c>
      <c r="E246" s="264">
        <v>1271</v>
      </c>
      <c r="F246" s="264">
        <v>5152</v>
      </c>
      <c r="G246" s="264">
        <v>6548466</v>
      </c>
      <c r="H246" s="264">
        <v>790</v>
      </c>
      <c r="I246" s="264">
        <v>1004066</v>
      </c>
      <c r="J246" s="264">
        <v>5544401</v>
      </c>
    </row>
    <row r="247" spans="1:10" ht="14.1" customHeight="1" x14ac:dyDescent="0.2">
      <c r="A247" s="278"/>
      <c r="B247" s="278"/>
      <c r="C247" s="278"/>
      <c r="D247" s="261" t="s">
        <v>154</v>
      </c>
      <c r="E247" s="264">
        <v>613</v>
      </c>
      <c r="F247" s="264">
        <v>6542</v>
      </c>
      <c r="G247" s="264">
        <v>4010485</v>
      </c>
      <c r="H247" s="264">
        <v>790</v>
      </c>
      <c r="I247" s="264">
        <v>484258</v>
      </c>
      <c r="J247" s="264">
        <v>3526226</v>
      </c>
    </row>
    <row r="248" spans="1:10" ht="29.1" customHeight="1" x14ac:dyDescent="0.2">
      <c r="A248" s="278"/>
      <c r="B248" s="277" t="s">
        <v>247</v>
      </c>
      <c r="C248" s="280" t="s">
        <v>75</v>
      </c>
      <c r="D248" s="261" t="s">
        <v>91</v>
      </c>
      <c r="E248" s="264">
        <v>3</v>
      </c>
      <c r="F248" s="264">
        <v>18108</v>
      </c>
      <c r="G248" s="264">
        <v>54324</v>
      </c>
      <c r="H248" s="264">
        <v>1188</v>
      </c>
      <c r="I248" s="264">
        <v>3564</v>
      </c>
      <c r="J248" s="264">
        <v>50760</v>
      </c>
    </row>
    <row r="249" spans="1:10" ht="14.1" customHeight="1" x14ac:dyDescent="0.2">
      <c r="A249" s="278"/>
      <c r="B249" s="278"/>
      <c r="C249" s="278"/>
      <c r="D249" s="261" t="s">
        <v>97</v>
      </c>
      <c r="E249" s="264">
        <v>8</v>
      </c>
      <c r="F249" s="264">
        <v>11317</v>
      </c>
      <c r="G249" s="264">
        <v>90536</v>
      </c>
      <c r="H249" s="264">
        <v>1188</v>
      </c>
      <c r="I249" s="264">
        <v>9503</v>
      </c>
      <c r="J249" s="264">
        <v>81033</v>
      </c>
    </row>
    <row r="250" spans="1:10" ht="14.1" customHeight="1" x14ac:dyDescent="0.2">
      <c r="A250" s="278"/>
      <c r="B250" s="278"/>
      <c r="C250" s="278"/>
      <c r="D250" s="261" t="s">
        <v>90</v>
      </c>
      <c r="E250" s="264">
        <v>48</v>
      </c>
      <c r="F250" s="264">
        <v>7696</v>
      </c>
      <c r="G250" s="264">
        <v>369387</v>
      </c>
      <c r="H250" s="264">
        <v>1188</v>
      </c>
      <c r="I250" s="264">
        <v>57017</v>
      </c>
      <c r="J250" s="264">
        <v>312370</v>
      </c>
    </row>
    <row r="251" spans="1:10" ht="14.1" customHeight="1" x14ac:dyDescent="0.2">
      <c r="A251" s="278"/>
      <c r="B251" s="278"/>
      <c r="C251" s="278"/>
      <c r="D251" s="261" t="s">
        <v>100</v>
      </c>
      <c r="E251" s="264">
        <v>4</v>
      </c>
      <c r="F251" s="264">
        <v>4981</v>
      </c>
      <c r="G251" s="264">
        <v>19923</v>
      </c>
      <c r="H251" s="264">
        <v>1188</v>
      </c>
      <c r="I251" s="264">
        <v>4751</v>
      </c>
      <c r="J251" s="264">
        <v>15171</v>
      </c>
    </row>
    <row r="252" spans="1:10" ht="14.1" customHeight="1" x14ac:dyDescent="0.2">
      <c r="A252" s="278"/>
      <c r="B252" s="278"/>
      <c r="C252" s="278"/>
      <c r="D252" s="261" t="s">
        <v>98</v>
      </c>
      <c r="E252" s="264">
        <v>3</v>
      </c>
      <c r="F252" s="264">
        <v>2717</v>
      </c>
      <c r="G252" s="264">
        <v>8150</v>
      </c>
      <c r="H252" s="264">
        <v>1188</v>
      </c>
      <c r="I252" s="264">
        <v>3564</v>
      </c>
      <c r="J252" s="264">
        <v>4587</v>
      </c>
    </row>
    <row r="253" spans="1:10" ht="14.1" customHeight="1" x14ac:dyDescent="0.2">
      <c r="A253" s="278"/>
      <c r="B253" s="278"/>
      <c r="C253" s="278"/>
      <c r="D253" s="261" t="s">
        <v>103</v>
      </c>
      <c r="E253" s="264">
        <v>2</v>
      </c>
      <c r="F253" s="264">
        <v>1359</v>
      </c>
      <c r="G253" s="264">
        <v>2719</v>
      </c>
      <c r="H253" s="264">
        <v>1188</v>
      </c>
      <c r="I253" s="264">
        <v>2376</v>
      </c>
      <c r="J253" s="264">
        <v>343</v>
      </c>
    </row>
    <row r="254" spans="1:10" ht="14.1" customHeight="1" x14ac:dyDescent="0.2">
      <c r="A254" s="278"/>
      <c r="B254" s="278"/>
      <c r="C254" s="278"/>
      <c r="D254" s="261" t="s">
        <v>119</v>
      </c>
      <c r="E254" s="264">
        <v>1</v>
      </c>
      <c r="F254" s="264">
        <v>611</v>
      </c>
      <c r="G254" s="264">
        <v>611</v>
      </c>
      <c r="H254" s="264">
        <v>1188</v>
      </c>
      <c r="I254" s="264">
        <v>1188</v>
      </c>
      <c r="J254" s="264">
        <v>-577</v>
      </c>
    </row>
    <row r="255" spans="1:10" ht="42.95" customHeight="1" x14ac:dyDescent="0.2">
      <c r="A255" s="278"/>
      <c r="B255" s="278"/>
      <c r="C255" s="277" t="s">
        <v>243</v>
      </c>
      <c r="D255" s="261" t="s">
        <v>86</v>
      </c>
      <c r="E255" s="264">
        <v>8</v>
      </c>
      <c r="F255" s="264">
        <v>19577</v>
      </c>
      <c r="G255" s="264">
        <v>156617</v>
      </c>
      <c r="H255" s="264">
        <v>2657</v>
      </c>
      <c r="I255" s="264">
        <v>21256</v>
      </c>
      <c r="J255" s="264">
        <v>135360</v>
      </c>
    </row>
    <row r="256" spans="1:10" ht="14.1" customHeight="1" x14ac:dyDescent="0.2">
      <c r="A256" s="278"/>
      <c r="B256" s="278"/>
      <c r="C256" s="278"/>
      <c r="D256" s="261" t="s">
        <v>87</v>
      </c>
      <c r="E256" s="264">
        <v>3</v>
      </c>
      <c r="F256" s="264">
        <v>12786</v>
      </c>
      <c r="G256" s="264">
        <v>38358</v>
      </c>
      <c r="H256" s="264">
        <v>2657</v>
      </c>
      <c r="I256" s="264">
        <v>7971</v>
      </c>
      <c r="J256" s="264">
        <v>30387</v>
      </c>
    </row>
    <row r="257" spans="1:10" ht="14.1" customHeight="1" x14ac:dyDescent="0.2">
      <c r="A257" s="278"/>
      <c r="B257" s="278"/>
      <c r="C257" s="278"/>
      <c r="D257" s="261" t="s">
        <v>84</v>
      </c>
      <c r="E257" s="264">
        <v>19</v>
      </c>
      <c r="F257" s="264">
        <v>9165</v>
      </c>
      <c r="G257" s="264">
        <v>174130</v>
      </c>
      <c r="H257" s="264">
        <v>2657</v>
      </c>
      <c r="I257" s="264">
        <v>50484</v>
      </c>
      <c r="J257" s="264">
        <v>123646</v>
      </c>
    </row>
    <row r="258" spans="1:10" ht="14.1" customHeight="1" x14ac:dyDescent="0.2">
      <c r="A258" s="278"/>
      <c r="B258" s="278"/>
      <c r="C258" s="278"/>
      <c r="D258" s="261" t="s">
        <v>96</v>
      </c>
      <c r="E258" s="264">
        <v>1</v>
      </c>
      <c r="F258" s="264">
        <v>4186</v>
      </c>
      <c r="G258" s="264">
        <v>4186</v>
      </c>
      <c r="H258" s="264">
        <v>2657</v>
      </c>
      <c r="I258" s="264">
        <v>2657</v>
      </c>
      <c r="J258" s="264">
        <v>1529</v>
      </c>
    </row>
    <row r="259" spans="1:10" ht="14.1" customHeight="1" x14ac:dyDescent="0.2">
      <c r="A259" s="278"/>
      <c r="B259" s="278"/>
      <c r="C259" s="278"/>
      <c r="D259" s="261" t="s">
        <v>88</v>
      </c>
      <c r="E259" s="264">
        <v>1</v>
      </c>
      <c r="F259" s="264">
        <v>2829</v>
      </c>
      <c r="G259" s="264">
        <v>2829</v>
      </c>
      <c r="H259" s="264">
        <v>2657</v>
      </c>
      <c r="I259" s="264">
        <v>2657</v>
      </c>
      <c r="J259" s="264">
        <v>171</v>
      </c>
    </row>
    <row r="260" spans="1:10" ht="42.95" customHeight="1" x14ac:dyDescent="0.2">
      <c r="A260" s="278"/>
      <c r="B260" s="278"/>
      <c r="C260" s="277" t="s">
        <v>245</v>
      </c>
      <c r="D260" s="261" t="s">
        <v>102</v>
      </c>
      <c r="E260" s="264">
        <v>5</v>
      </c>
      <c r="F260" s="264">
        <v>97664</v>
      </c>
      <c r="G260" s="264">
        <v>488319</v>
      </c>
      <c r="H260" s="264">
        <v>1978</v>
      </c>
      <c r="I260" s="264">
        <v>9889</v>
      </c>
      <c r="J260" s="264">
        <v>478430</v>
      </c>
    </row>
    <row r="261" spans="1:10" ht="14.1" customHeight="1" x14ac:dyDescent="0.2">
      <c r="A261" s="278"/>
      <c r="B261" s="278"/>
      <c r="C261" s="278"/>
      <c r="D261" s="261" t="s">
        <v>92</v>
      </c>
      <c r="E261" s="264">
        <v>680</v>
      </c>
      <c r="F261" s="264">
        <v>31120</v>
      </c>
      <c r="G261" s="264">
        <v>21161888</v>
      </c>
      <c r="H261" s="264">
        <v>1978</v>
      </c>
      <c r="I261" s="264">
        <v>1344933</v>
      </c>
      <c r="J261" s="264">
        <v>19816956</v>
      </c>
    </row>
    <row r="262" spans="1:10" ht="14.1" customHeight="1" x14ac:dyDescent="0.2">
      <c r="A262" s="278"/>
      <c r="B262" s="278"/>
      <c r="C262" s="278"/>
      <c r="D262" s="261" t="s">
        <v>86</v>
      </c>
      <c r="E262" s="264">
        <v>2591</v>
      </c>
      <c r="F262" s="264">
        <v>18898</v>
      </c>
      <c r="G262" s="264">
        <v>48964408</v>
      </c>
      <c r="H262" s="264">
        <v>1978</v>
      </c>
      <c r="I262" s="264">
        <v>5124589</v>
      </c>
      <c r="J262" s="264">
        <v>43839820</v>
      </c>
    </row>
    <row r="263" spans="1:10" ht="14.1" customHeight="1" x14ac:dyDescent="0.2">
      <c r="A263" s="278"/>
      <c r="B263" s="278"/>
      <c r="C263" s="278"/>
      <c r="D263" s="261" t="s">
        <v>87</v>
      </c>
      <c r="E263" s="264">
        <v>2307</v>
      </c>
      <c r="F263" s="264">
        <v>12107</v>
      </c>
      <c r="G263" s="264">
        <v>27930702</v>
      </c>
      <c r="H263" s="264">
        <v>1978</v>
      </c>
      <c r="I263" s="264">
        <v>4562882</v>
      </c>
      <c r="J263" s="264">
        <v>23367821</v>
      </c>
    </row>
    <row r="264" spans="1:10" ht="14.1" customHeight="1" x14ac:dyDescent="0.2">
      <c r="A264" s="278"/>
      <c r="B264" s="278"/>
      <c r="C264" s="278"/>
      <c r="D264" s="261" t="s">
        <v>84</v>
      </c>
      <c r="E264" s="264">
        <v>3962</v>
      </c>
      <c r="F264" s="264">
        <v>8486</v>
      </c>
      <c r="G264" s="264">
        <v>33619746</v>
      </c>
      <c r="H264" s="264">
        <v>1978</v>
      </c>
      <c r="I264" s="264">
        <v>7836210</v>
      </c>
      <c r="J264" s="264">
        <v>25783536</v>
      </c>
    </row>
    <row r="265" spans="1:10" ht="14.1" customHeight="1" x14ac:dyDescent="0.2">
      <c r="A265" s="278"/>
      <c r="B265" s="278"/>
      <c r="C265" s="278"/>
      <c r="D265" s="261" t="s">
        <v>85</v>
      </c>
      <c r="E265" s="264">
        <v>121</v>
      </c>
      <c r="F265" s="264">
        <v>5771</v>
      </c>
      <c r="G265" s="264">
        <v>698256</v>
      </c>
      <c r="H265" s="264">
        <v>1978</v>
      </c>
      <c r="I265" s="264">
        <v>239319</v>
      </c>
      <c r="J265" s="264">
        <v>458937</v>
      </c>
    </row>
    <row r="266" spans="1:10" ht="14.1" customHeight="1" x14ac:dyDescent="0.2">
      <c r="A266" s="278"/>
      <c r="B266" s="278"/>
      <c r="C266" s="278"/>
      <c r="D266" s="261" t="s">
        <v>96</v>
      </c>
      <c r="E266" s="264">
        <v>508</v>
      </c>
      <c r="F266" s="264">
        <v>3507</v>
      </c>
      <c r="G266" s="264">
        <v>1781426</v>
      </c>
      <c r="H266" s="264">
        <v>1978</v>
      </c>
      <c r="I266" s="264">
        <v>1004744</v>
      </c>
      <c r="J266" s="264">
        <v>776682</v>
      </c>
    </row>
    <row r="267" spans="1:10" ht="14.1" customHeight="1" x14ac:dyDescent="0.2">
      <c r="A267" s="278"/>
      <c r="B267" s="278"/>
      <c r="C267" s="278"/>
      <c r="D267" s="261" t="s">
        <v>88</v>
      </c>
      <c r="E267" s="264">
        <v>353</v>
      </c>
      <c r="F267" s="264">
        <v>2149</v>
      </c>
      <c r="G267" s="264">
        <v>758712</v>
      </c>
      <c r="H267" s="264">
        <v>1978</v>
      </c>
      <c r="I267" s="264">
        <v>698178</v>
      </c>
      <c r="J267" s="264">
        <v>60534</v>
      </c>
    </row>
    <row r="268" spans="1:10" ht="14.1" customHeight="1" x14ac:dyDescent="0.2">
      <c r="A268" s="278" t="s">
        <v>108</v>
      </c>
      <c r="B268" s="278" t="s">
        <v>60</v>
      </c>
      <c r="C268" s="278"/>
      <c r="D268" s="278"/>
      <c r="E268" s="264">
        <v>1921</v>
      </c>
      <c r="F268" s="264"/>
      <c r="G268" s="264">
        <v>48604190</v>
      </c>
      <c r="H268" s="264">
        <v>17337</v>
      </c>
      <c r="I268" s="264"/>
      <c r="J268" s="264">
        <v>47071285</v>
      </c>
    </row>
    <row r="269" spans="1:10" ht="14.1" customHeight="1" x14ac:dyDescent="0.2">
      <c r="A269" s="278"/>
      <c r="B269" s="261" t="s">
        <v>71</v>
      </c>
      <c r="C269" s="261" t="s">
        <v>72</v>
      </c>
      <c r="D269" s="261" t="s">
        <v>73</v>
      </c>
      <c r="E269" s="281">
        <v>1</v>
      </c>
      <c r="F269" s="281">
        <v>11382</v>
      </c>
      <c r="G269" s="281">
        <v>11382</v>
      </c>
      <c r="H269" s="281">
        <v>0</v>
      </c>
      <c r="I269" s="281">
        <v>0</v>
      </c>
      <c r="J269" s="281">
        <v>11382</v>
      </c>
    </row>
    <row r="270" spans="1:10" ht="14.1" customHeight="1" x14ac:dyDescent="0.2">
      <c r="A270" s="278"/>
      <c r="B270" s="279" t="s">
        <v>74</v>
      </c>
      <c r="C270" s="262" t="s">
        <v>75</v>
      </c>
      <c r="D270" s="261" t="s">
        <v>77</v>
      </c>
      <c r="E270" s="282"/>
      <c r="F270" s="282"/>
      <c r="G270" s="282"/>
      <c r="H270" s="282"/>
      <c r="I270" s="282"/>
      <c r="J270" s="282"/>
    </row>
    <row r="271" spans="1:10" ht="42.95" customHeight="1" x14ac:dyDescent="0.2">
      <c r="A271" s="278"/>
      <c r="B271" s="278"/>
      <c r="C271" s="263" t="s">
        <v>245</v>
      </c>
      <c r="D271" s="261" t="s">
        <v>79</v>
      </c>
      <c r="E271" s="264">
        <v>1</v>
      </c>
      <c r="F271" s="264">
        <v>12172</v>
      </c>
      <c r="G271" s="264">
        <v>12172</v>
      </c>
      <c r="H271" s="264">
        <v>1978</v>
      </c>
      <c r="I271" s="264">
        <v>1978</v>
      </c>
      <c r="J271" s="264">
        <v>10195</v>
      </c>
    </row>
    <row r="272" spans="1:10" ht="42.95" customHeight="1" x14ac:dyDescent="0.2">
      <c r="A272" s="278"/>
      <c r="B272" s="277" t="s">
        <v>246</v>
      </c>
      <c r="C272" s="280" t="s">
        <v>75</v>
      </c>
      <c r="D272" s="261" t="s">
        <v>99</v>
      </c>
      <c r="E272" s="264">
        <v>1</v>
      </c>
      <c r="F272" s="264">
        <v>30330</v>
      </c>
      <c r="G272" s="264">
        <v>30330</v>
      </c>
      <c r="H272" s="264">
        <v>0</v>
      </c>
      <c r="I272" s="264">
        <v>0</v>
      </c>
      <c r="J272" s="264">
        <v>30330</v>
      </c>
    </row>
    <row r="273" spans="1:10" ht="14.1" customHeight="1" x14ac:dyDescent="0.2">
      <c r="A273" s="278"/>
      <c r="B273" s="278"/>
      <c r="C273" s="278"/>
      <c r="D273" s="261" t="s">
        <v>91</v>
      </c>
      <c r="E273" s="264">
        <v>1</v>
      </c>
      <c r="F273" s="264">
        <v>18108</v>
      </c>
      <c r="G273" s="264">
        <v>18108</v>
      </c>
      <c r="H273" s="264">
        <v>0</v>
      </c>
      <c r="I273" s="264">
        <v>0</v>
      </c>
      <c r="J273" s="264">
        <v>18108</v>
      </c>
    </row>
    <row r="274" spans="1:10" ht="14.1" customHeight="1" x14ac:dyDescent="0.2">
      <c r="A274" s="278"/>
      <c r="B274" s="278"/>
      <c r="C274" s="278"/>
      <c r="D274" s="261" t="s">
        <v>90</v>
      </c>
      <c r="E274" s="264">
        <v>3</v>
      </c>
      <c r="F274" s="264">
        <v>7696</v>
      </c>
      <c r="G274" s="264">
        <v>23087</v>
      </c>
      <c r="H274" s="264">
        <v>0</v>
      </c>
      <c r="I274" s="264">
        <v>0</v>
      </c>
      <c r="J274" s="264">
        <v>23087</v>
      </c>
    </row>
    <row r="275" spans="1:10" ht="14.1" customHeight="1" x14ac:dyDescent="0.2">
      <c r="A275" s="278"/>
      <c r="B275" s="278"/>
      <c r="C275" s="278"/>
      <c r="D275" s="261" t="s">
        <v>103</v>
      </c>
      <c r="E275" s="264">
        <v>1</v>
      </c>
      <c r="F275" s="264">
        <v>1359</v>
      </c>
      <c r="G275" s="264">
        <v>1359</v>
      </c>
      <c r="H275" s="264">
        <v>0</v>
      </c>
      <c r="I275" s="264">
        <v>0</v>
      </c>
      <c r="J275" s="264">
        <v>1359</v>
      </c>
    </row>
    <row r="276" spans="1:10" ht="42.95" customHeight="1" x14ac:dyDescent="0.2">
      <c r="A276" s="278"/>
      <c r="B276" s="278"/>
      <c r="C276" s="277" t="s">
        <v>243</v>
      </c>
      <c r="D276" s="261" t="s">
        <v>86</v>
      </c>
      <c r="E276" s="264">
        <v>2</v>
      </c>
      <c r="F276" s="264">
        <v>19577</v>
      </c>
      <c r="G276" s="264">
        <v>39154</v>
      </c>
      <c r="H276" s="264">
        <v>1469</v>
      </c>
      <c r="I276" s="264">
        <v>2938</v>
      </c>
      <c r="J276" s="264">
        <v>36216</v>
      </c>
    </row>
    <row r="277" spans="1:10" ht="14.1" customHeight="1" x14ac:dyDescent="0.2">
      <c r="A277" s="278"/>
      <c r="B277" s="278"/>
      <c r="C277" s="278"/>
      <c r="D277" s="261" t="s">
        <v>84</v>
      </c>
      <c r="E277" s="264">
        <v>2</v>
      </c>
      <c r="F277" s="264">
        <v>9165</v>
      </c>
      <c r="G277" s="264">
        <v>18329</v>
      </c>
      <c r="H277" s="264">
        <v>1469</v>
      </c>
      <c r="I277" s="264">
        <v>2938</v>
      </c>
      <c r="J277" s="264">
        <v>15391</v>
      </c>
    </row>
    <row r="278" spans="1:10" ht="14.1" customHeight="1" x14ac:dyDescent="0.2">
      <c r="A278" s="278"/>
      <c r="B278" s="278"/>
      <c r="C278" s="278"/>
      <c r="D278" s="261" t="s">
        <v>78</v>
      </c>
      <c r="E278" s="264">
        <v>19</v>
      </c>
      <c r="F278" s="264">
        <v>37855</v>
      </c>
      <c r="G278" s="264">
        <v>719236</v>
      </c>
      <c r="H278" s="264">
        <v>1469</v>
      </c>
      <c r="I278" s="264">
        <v>27914</v>
      </c>
      <c r="J278" s="264">
        <v>691322</v>
      </c>
    </row>
    <row r="279" spans="1:10" ht="14.1" customHeight="1" x14ac:dyDescent="0.2">
      <c r="A279" s="278"/>
      <c r="B279" s="278"/>
      <c r="C279" s="278"/>
      <c r="D279" s="261" t="s">
        <v>153</v>
      </c>
      <c r="E279" s="264">
        <v>2</v>
      </c>
      <c r="F279" s="264">
        <v>5831</v>
      </c>
      <c r="G279" s="264">
        <v>11663</v>
      </c>
      <c r="H279" s="264">
        <v>1469</v>
      </c>
      <c r="I279" s="264">
        <v>2938</v>
      </c>
      <c r="J279" s="264">
        <v>8724</v>
      </c>
    </row>
    <row r="280" spans="1:10" ht="14.1" customHeight="1" x14ac:dyDescent="0.2">
      <c r="A280" s="278"/>
      <c r="B280" s="278"/>
      <c r="C280" s="278"/>
      <c r="D280" s="261" t="s">
        <v>154</v>
      </c>
      <c r="E280" s="264">
        <v>2</v>
      </c>
      <c r="F280" s="264">
        <v>7222</v>
      </c>
      <c r="G280" s="264">
        <v>14443</v>
      </c>
      <c r="H280" s="264">
        <v>1469</v>
      </c>
      <c r="I280" s="264">
        <v>2938</v>
      </c>
      <c r="J280" s="264">
        <v>11505</v>
      </c>
    </row>
    <row r="281" spans="1:10" ht="42.95" customHeight="1" x14ac:dyDescent="0.2">
      <c r="A281" s="278"/>
      <c r="B281" s="278"/>
      <c r="C281" s="277" t="s">
        <v>244</v>
      </c>
      <c r="D281" s="261" t="s">
        <v>86</v>
      </c>
      <c r="E281" s="264">
        <v>2</v>
      </c>
      <c r="F281" s="264">
        <v>19124</v>
      </c>
      <c r="G281" s="264">
        <v>38248</v>
      </c>
      <c r="H281" s="264">
        <v>1242</v>
      </c>
      <c r="I281" s="264">
        <v>2484</v>
      </c>
      <c r="J281" s="264">
        <v>35764</v>
      </c>
    </row>
    <row r="282" spans="1:10" ht="14.1" customHeight="1" x14ac:dyDescent="0.2">
      <c r="A282" s="278"/>
      <c r="B282" s="278"/>
      <c r="C282" s="278"/>
      <c r="D282" s="261" t="s">
        <v>84</v>
      </c>
      <c r="E282" s="264">
        <v>1</v>
      </c>
      <c r="F282" s="264">
        <v>8937</v>
      </c>
      <c r="G282" s="264">
        <v>8937</v>
      </c>
      <c r="H282" s="264">
        <v>1242</v>
      </c>
      <c r="I282" s="264">
        <v>1242</v>
      </c>
      <c r="J282" s="264">
        <v>7696</v>
      </c>
    </row>
    <row r="283" spans="1:10" ht="42.95" customHeight="1" x14ac:dyDescent="0.2">
      <c r="A283" s="278"/>
      <c r="B283" s="278"/>
      <c r="C283" s="277" t="s">
        <v>245</v>
      </c>
      <c r="D283" s="261" t="s">
        <v>92</v>
      </c>
      <c r="E283" s="264">
        <v>664</v>
      </c>
      <c r="F283" s="264">
        <v>31120</v>
      </c>
      <c r="G283" s="264">
        <v>20663961</v>
      </c>
      <c r="H283" s="264">
        <v>790</v>
      </c>
      <c r="I283" s="264">
        <v>524547</v>
      </c>
      <c r="J283" s="264">
        <v>20139414</v>
      </c>
    </row>
    <row r="284" spans="1:10" ht="14.1" customHeight="1" x14ac:dyDescent="0.2">
      <c r="A284" s="278"/>
      <c r="B284" s="278"/>
      <c r="C284" s="278"/>
      <c r="D284" s="261" t="s">
        <v>86</v>
      </c>
      <c r="E284" s="264">
        <v>388</v>
      </c>
      <c r="F284" s="264">
        <v>18898</v>
      </c>
      <c r="G284" s="264">
        <v>7332378</v>
      </c>
      <c r="H284" s="264">
        <v>790</v>
      </c>
      <c r="I284" s="264">
        <v>306513</v>
      </c>
      <c r="J284" s="264">
        <v>7025865</v>
      </c>
    </row>
    <row r="285" spans="1:10" ht="14.1" customHeight="1" x14ac:dyDescent="0.2">
      <c r="A285" s="278"/>
      <c r="B285" s="278"/>
      <c r="C285" s="278"/>
      <c r="D285" s="261" t="s">
        <v>87</v>
      </c>
      <c r="E285" s="264">
        <v>180</v>
      </c>
      <c r="F285" s="264">
        <v>12107</v>
      </c>
      <c r="G285" s="264">
        <v>2179249</v>
      </c>
      <c r="H285" s="264">
        <v>790</v>
      </c>
      <c r="I285" s="264">
        <v>142197</v>
      </c>
      <c r="J285" s="264">
        <v>2037052</v>
      </c>
    </row>
    <row r="286" spans="1:10" ht="14.1" customHeight="1" x14ac:dyDescent="0.2">
      <c r="A286" s="278"/>
      <c r="B286" s="278"/>
      <c r="C286" s="278"/>
      <c r="D286" s="261" t="s">
        <v>84</v>
      </c>
      <c r="E286" s="264">
        <v>29</v>
      </c>
      <c r="F286" s="264">
        <v>8486</v>
      </c>
      <c r="G286" s="264">
        <v>246081</v>
      </c>
      <c r="H286" s="264">
        <v>790</v>
      </c>
      <c r="I286" s="264">
        <v>22909</v>
      </c>
      <c r="J286" s="264">
        <v>223171</v>
      </c>
    </row>
    <row r="287" spans="1:10" ht="14.1" customHeight="1" x14ac:dyDescent="0.2">
      <c r="A287" s="278"/>
      <c r="B287" s="278"/>
      <c r="C287" s="278"/>
      <c r="D287" s="261" t="s">
        <v>78</v>
      </c>
      <c r="E287" s="264">
        <v>432</v>
      </c>
      <c r="F287" s="264">
        <v>37175</v>
      </c>
      <c r="G287" s="264">
        <v>16059746</v>
      </c>
      <c r="H287" s="264">
        <v>790</v>
      </c>
      <c r="I287" s="264">
        <v>341272</v>
      </c>
      <c r="J287" s="264">
        <v>15718474</v>
      </c>
    </row>
    <row r="288" spans="1:10" ht="14.1" customHeight="1" x14ac:dyDescent="0.2">
      <c r="A288" s="278"/>
      <c r="B288" s="278"/>
      <c r="C288" s="278"/>
      <c r="D288" s="261" t="s">
        <v>153</v>
      </c>
      <c r="E288" s="264">
        <v>48</v>
      </c>
      <c r="F288" s="264">
        <v>5152</v>
      </c>
      <c r="G288" s="264">
        <v>247306</v>
      </c>
      <c r="H288" s="264">
        <v>790</v>
      </c>
      <c r="I288" s="264">
        <v>37919</v>
      </c>
      <c r="J288" s="264">
        <v>209387</v>
      </c>
    </row>
    <row r="289" spans="1:10" ht="14.1" customHeight="1" x14ac:dyDescent="0.2">
      <c r="A289" s="278"/>
      <c r="B289" s="278"/>
      <c r="C289" s="278"/>
      <c r="D289" s="261" t="s">
        <v>154</v>
      </c>
      <c r="E289" s="264">
        <v>142</v>
      </c>
      <c r="F289" s="264">
        <v>6542</v>
      </c>
      <c r="G289" s="264">
        <v>929019</v>
      </c>
      <c r="H289" s="264">
        <v>790</v>
      </c>
      <c r="I289" s="264">
        <v>112177</v>
      </c>
      <c r="J289" s="264">
        <v>816842</v>
      </c>
    </row>
    <row r="290" spans="1:10" ht="29.1" customHeight="1" x14ac:dyDescent="0.2">
      <c r="A290" s="277" t="s">
        <v>249</v>
      </c>
      <c r="B290" s="278" t="s">
        <v>60</v>
      </c>
      <c r="C290" s="278"/>
      <c r="D290" s="278"/>
      <c r="E290" s="264">
        <v>21985</v>
      </c>
      <c r="F290" s="264"/>
      <c r="G290" s="264">
        <v>381387567</v>
      </c>
      <c r="H290" s="264">
        <v>52582</v>
      </c>
      <c r="I290" s="264"/>
      <c r="J290" s="264">
        <v>327199126</v>
      </c>
    </row>
    <row r="291" spans="1:10" ht="14.1" customHeight="1" x14ac:dyDescent="0.2">
      <c r="A291" s="278"/>
      <c r="B291" s="261" t="s">
        <v>71</v>
      </c>
      <c r="C291" s="261" t="s">
        <v>72</v>
      </c>
      <c r="D291" s="261" t="s">
        <v>73</v>
      </c>
      <c r="E291" s="281">
        <v>1</v>
      </c>
      <c r="F291" s="281">
        <v>11382</v>
      </c>
      <c r="G291" s="281">
        <v>11382</v>
      </c>
      <c r="H291" s="281">
        <v>0</v>
      </c>
      <c r="I291" s="281">
        <v>0</v>
      </c>
      <c r="J291" s="281">
        <v>11382</v>
      </c>
    </row>
    <row r="292" spans="1:10" ht="14.1" customHeight="1" x14ac:dyDescent="0.2">
      <c r="A292" s="278"/>
      <c r="B292" s="279" t="s">
        <v>74</v>
      </c>
      <c r="C292" s="262" t="s">
        <v>75</v>
      </c>
      <c r="D292" s="261" t="s">
        <v>77</v>
      </c>
      <c r="E292" s="282"/>
      <c r="F292" s="282"/>
      <c r="G292" s="282"/>
      <c r="H292" s="282"/>
      <c r="I292" s="282"/>
      <c r="J292" s="282"/>
    </row>
    <row r="293" spans="1:10" ht="42.95" customHeight="1" x14ac:dyDescent="0.2">
      <c r="A293" s="278"/>
      <c r="B293" s="278"/>
      <c r="C293" s="263" t="s">
        <v>243</v>
      </c>
      <c r="D293" s="261" t="s">
        <v>79</v>
      </c>
      <c r="E293" s="264">
        <v>43</v>
      </c>
      <c r="F293" s="264">
        <v>12852</v>
      </c>
      <c r="G293" s="264">
        <v>552620</v>
      </c>
      <c r="H293" s="264">
        <v>2657</v>
      </c>
      <c r="I293" s="264">
        <v>114252</v>
      </c>
      <c r="J293" s="264">
        <v>438368</v>
      </c>
    </row>
    <row r="294" spans="1:10" ht="42.95" customHeight="1" x14ac:dyDescent="0.2">
      <c r="A294" s="278"/>
      <c r="B294" s="278"/>
      <c r="C294" s="263" t="s">
        <v>245</v>
      </c>
      <c r="D294" s="261" t="s">
        <v>79</v>
      </c>
      <c r="E294" s="264">
        <v>1681</v>
      </c>
      <c r="F294" s="264">
        <v>12172</v>
      </c>
      <c r="G294" s="264">
        <v>20461883</v>
      </c>
      <c r="H294" s="264">
        <v>1978</v>
      </c>
      <c r="I294" s="264">
        <v>3324752</v>
      </c>
      <c r="J294" s="264">
        <v>17137131</v>
      </c>
    </row>
    <row r="295" spans="1:10" ht="42.95" customHeight="1" x14ac:dyDescent="0.2">
      <c r="A295" s="278"/>
      <c r="B295" s="265" t="s">
        <v>89</v>
      </c>
      <c r="C295" s="263" t="s">
        <v>245</v>
      </c>
      <c r="D295" s="261" t="s">
        <v>90</v>
      </c>
      <c r="E295" s="264">
        <v>1</v>
      </c>
      <c r="F295" s="264">
        <v>7696</v>
      </c>
      <c r="G295" s="264">
        <v>7696</v>
      </c>
      <c r="H295" s="264">
        <v>827</v>
      </c>
      <c r="I295" s="264">
        <v>827</v>
      </c>
      <c r="J295" s="264">
        <v>6869</v>
      </c>
    </row>
    <row r="296" spans="1:10" ht="14.1" customHeight="1" x14ac:dyDescent="0.2">
      <c r="A296" s="278"/>
      <c r="B296" s="279" t="s">
        <v>80</v>
      </c>
      <c r="C296" s="280" t="s">
        <v>75</v>
      </c>
      <c r="D296" s="261" t="s">
        <v>81</v>
      </c>
      <c r="E296" s="264">
        <v>541</v>
      </c>
      <c r="F296" s="264">
        <v>22977</v>
      </c>
      <c r="G296" s="264">
        <v>12430383</v>
      </c>
      <c r="H296" s="264">
        <v>3812</v>
      </c>
      <c r="I296" s="264">
        <v>2062058</v>
      </c>
      <c r="J296" s="264">
        <v>10368326</v>
      </c>
    </row>
    <row r="297" spans="1:10" ht="14.1" customHeight="1" x14ac:dyDescent="0.2">
      <c r="A297" s="278"/>
      <c r="B297" s="278"/>
      <c r="C297" s="278"/>
      <c r="D297" s="261" t="s">
        <v>82</v>
      </c>
      <c r="E297" s="264">
        <v>7374</v>
      </c>
      <c r="F297" s="264">
        <v>19789</v>
      </c>
      <c r="G297" s="264">
        <v>145925407</v>
      </c>
      <c r="H297" s="264">
        <v>3812</v>
      </c>
      <c r="I297" s="264">
        <v>28106496</v>
      </c>
      <c r="J297" s="264">
        <v>117818910</v>
      </c>
    </row>
    <row r="298" spans="1:10" ht="42.95" customHeight="1" x14ac:dyDescent="0.2">
      <c r="A298" s="278"/>
      <c r="B298" s="277" t="s">
        <v>246</v>
      </c>
      <c r="C298" s="280" t="s">
        <v>75</v>
      </c>
      <c r="D298" s="261" t="s">
        <v>91</v>
      </c>
      <c r="E298" s="264">
        <v>3</v>
      </c>
      <c r="F298" s="264">
        <v>18108</v>
      </c>
      <c r="G298" s="264">
        <v>54324</v>
      </c>
      <c r="H298" s="264">
        <v>0</v>
      </c>
      <c r="I298" s="264">
        <v>0</v>
      </c>
      <c r="J298" s="264">
        <v>54324</v>
      </c>
    </row>
    <row r="299" spans="1:10" ht="14.1" customHeight="1" x14ac:dyDescent="0.2">
      <c r="A299" s="278"/>
      <c r="B299" s="278"/>
      <c r="C299" s="278"/>
      <c r="D299" s="261" t="s">
        <v>97</v>
      </c>
      <c r="E299" s="264">
        <v>4</v>
      </c>
      <c r="F299" s="264">
        <v>11317</v>
      </c>
      <c r="G299" s="264">
        <v>45268</v>
      </c>
      <c r="H299" s="264">
        <v>0</v>
      </c>
      <c r="I299" s="264">
        <v>0</v>
      </c>
      <c r="J299" s="264">
        <v>45268</v>
      </c>
    </row>
    <row r="300" spans="1:10" ht="14.1" customHeight="1" x14ac:dyDescent="0.2">
      <c r="A300" s="278"/>
      <c r="B300" s="278"/>
      <c r="C300" s="278"/>
      <c r="D300" s="261" t="s">
        <v>90</v>
      </c>
      <c r="E300" s="264">
        <v>1</v>
      </c>
      <c r="F300" s="264">
        <v>7696</v>
      </c>
      <c r="G300" s="264">
        <v>7696</v>
      </c>
      <c r="H300" s="264">
        <v>0</v>
      </c>
      <c r="I300" s="264">
        <v>0</v>
      </c>
      <c r="J300" s="264">
        <v>7696</v>
      </c>
    </row>
    <row r="301" spans="1:10" ht="14.1" customHeight="1" x14ac:dyDescent="0.2">
      <c r="A301" s="278"/>
      <c r="B301" s="278"/>
      <c r="C301" s="278"/>
      <c r="D301" s="261" t="s">
        <v>76</v>
      </c>
      <c r="E301" s="264">
        <v>5</v>
      </c>
      <c r="F301" s="264">
        <v>36385</v>
      </c>
      <c r="G301" s="264">
        <v>181927</v>
      </c>
      <c r="H301" s="264">
        <v>0</v>
      </c>
      <c r="I301" s="264">
        <v>0</v>
      </c>
      <c r="J301" s="264">
        <v>181927</v>
      </c>
    </row>
    <row r="302" spans="1:10" ht="42.95" customHeight="1" x14ac:dyDescent="0.2">
      <c r="A302" s="278"/>
      <c r="B302" s="278"/>
      <c r="C302" s="277" t="s">
        <v>243</v>
      </c>
      <c r="D302" s="261" t="s">
        <v>84</v>
      </c>
      <c r="E302" s="264">
        <v>4</v>
      </c>
      <c r="F302" s="264">
        <v>9165</v>
      </c>
      <c r="G302" s="264">
        <v>36659</v>
      </c>
      <c r="H302" s="264">
        <v>1469</v>
      </c>
      <c r="I302" s="264">
        <v>5877</v>
      </c>
      <c r="J302" s="264">
        <v>30782</v>
      </c>
    </row>
    <row r="303" spans="1:10" ht="14.1" customHeight="1" x14ac:dyDescent="0.2">
      <c r="A303" s="278"/>
      <c r="B303" s="278"/>
      <c r="C303" s="278"/>
      <c r="D303" s="261" t="s">
        <v>78</v>
      </c>
      <c r="E303" s="264">
        <v>15</v>
      </c>
      <c r="F303" s="264">
        <v>37855</v>
      </c>
      <c r="G303" s="264">
        <v>567818</v>
      </c>
      <c r="H303" s="264">
        <v>1469</v>
      </c>
      <c r="I303" s="264">
        <v>22038</v>
      </c>
      <c r="J303" s="264">
        <v>545780</v>
      </c>
    </row>
    <row r="304" spans="1:10" ht="42.95" customHeight="1" x14ac:dyDescent="0.2">
      <c r="A304" s="278"/>
      <c r="B304" s="278"/>
      <c r="C304" s="263" t="s">
        <v>244</v>
      </c>
      <c r="D304" s="261" t="s">
        <v>84</v>
      </c>
      <c r="E304" s="264">
        <v>16</v>
      </c>
      <c r="F304" s="264">
        <v>8853</v>
      </c>
      <c r="G304" s="264">
        <v>141643</v>
      </c>
      <c r="H304" s="264">
        <v>1242</v>
      </c>
      <c r="I304" s="264">
        <v>19869</v>
      </c>
      <c r="J304" s="264">
        <v>121774</v>
      </c>
    </row>
    <row r="305" spans="1:10" ht="42.95" customHeight="1" x14ac:dyDescent="0.2">
      <c r="A305" s="278"/>
      <c r="B305" s="278"/>
      <c r="C305" s="277" t="s">
        <v>245</v>
      </c>
      <c r="D305" s="261" t="s">
        <v>92</v>
      </c>
      <c r="E305" s="264">
        <v>265</v>
      </c>
      <c r="F305" s="264">
        <v>31120</v>
      </c>
      <c r="G305" s="264">
        <v>8246912</v>
      </c>
      <c r="H305" s="264">
        <v>790</v>
      </c>
      <c r="I305" s="264">
        <v>209345</v>
      </c>
      <c r="J305" s="264">
        <v>8037567</v>
      </c>
    </row>
    <row r="306" spans="1:10" ht="14.1" customHeight="1" x14ac:dyDescent="0.2">
      <c r="A306" s="278"/>
      <c r="B306" s="278"/>
      <c r="C306" s="278"/>
      <c r="D306" s="261" t="s">
        <v>86</v>
      </c>
      <c r="E306" s="264">
        <v>934</v>
      </c>
      <c r="F306" s="264">
        <v>18898</v>
      </c>
      <c r="G306" s="264">
        <v>17650620</v>
      </c>
      <c r="H306" s="264">
        <v>790</v>
      </c>
      <c r="I306" s="264">
        <v>737842</v>
      </c>
      <c r="J306" s="264">
        <v>16912778</v>
      </c>
    </row>
    <row r="307" spans="1:10" ht="14.1" customHeight="1" x14ac:dyDescent="0.2">
      <c r="A307" s="278"/>
      <c r="B307" s="278"/>
      <c r="C307" s="278"/>
      <c r="D307" s="261" t="s">
        <v>87</v>
      </c>
      <c r="E307" s="264">
        <v>56</v>
      </c>
      <c r="F307" s="264">
        <v>12107</v>
      </c>
      <c r="G307" s="264">
        <v>677988</v>
      </c>
      <c r="H307" s="264">
        <v>790</v>
      </c>
      <c r="I307" s="264">
        <v>44239</v>
      </c>
      <c r="J307" s="264">
        <v>633750</v>
      </c>
    </row>
    <row r="308" spans="1:10" ht="14.1" customHeight="1" x14ac:dyDescent="0.2">
      <c r="A308" s="278"/>
      <c r="B308" s="278"/>
      <c r="C308" s="278"/>
      <c r="D308" s="261" t="s">
        <v>84</v>
      </c>
      <c r="E308" s="264">
        <v>264</v>
      </c>
      <c r="F308" s="264">
        <v>8486</v>
      </c>
      <c r="G308" s="264">
        <v>2240185</v>
      </c>
      <c r="H308" s="264">
        <v>790</v>
      </c>
      <c r="I308" s="264">
        <v>208555</v>
      </c>
      <c r="J308" s="264">
        <v>2031630</v>
      </c>
    </row>
    <row r="309" spans="1:10" ht="14.1" customHeight="1" x14ac:dyDescent="0.2">
      <c r="A309" s="278"/>
      <c r="B309" s="278"/>
      <c r="C309" s="278"/>
      <c r="D309" s="261" t="s">
        <v>85</v>
      </c>
      <c r="E309" s="264">
        <v>6</v>
      </c>
      <c r="F309" s="264">
        <v>5771</v>
      </c>
      <c r="G309" s="264">
        <v>34624</v>
      </c>
      <c r="H309" s="264">
        <v>790</v>
      </c>
      <c r="I309" s="264">
        <v>4740</v>
      </c>
      <c r="J309" s="264">
        <v>29884</v>
      </c>
    </row>
    <row r="310" spans="1:10" ht="14.1" customHeight="1" x14ac:dyDescent="0.2">
      <c r="A310" s="278"/>
      <c r="B310" s="278"/>
      <c r="C310" s="278"/>
      <c r="D310" s="261" t="s">
        <v>96</v>
      </c>
      <c r="E310" s="264">
        <v>6</v>
      </c>
      <c r="F310" s="264">
        <v>3507</v>
      </c>
      <c r="G310" s="264">
        <v>21040</v>
      </c>
      <c r="H310" s="264">
        <v>790</v>
      </c>
      <c r="I310" s="264">
        <v>4740</v>
      </c>
      <c r="J310" s="264">
        <v>16301</v>
      </c>
    </row>
    <row r="311" spans="1:10" ht="14.1" customHeight="1" x14ac:dyDescent="0.2">
      <c r="A311" s="278"/>
      <c r="B311" s="278"/>
      <c r="C311" s="278"/>
      <c r="D311" s="261" t="s">
        <v>78</v>
      </c>
      <c r="E311" s="264">
        <v>1666</v>
      </c>
      <c r="F311" s="264">
        <v>37175</v>
      </c>
      <c r="G311" s="264">
        <v>61934112</v>
      </c>
      <c r="H311" s="264">
        <v>790</v>
      </c>
      <c r="I311" s="264">
        <v>1316108</v>
      </c>
      <c r="J311" s="264">
        <v>60618004</v>
      </c>
    </row>
    <row r="312" spans="1:10" ht="14.1" customHeight="1" x14ac:dyDescent="0.2">
      <c r="A312" s="278"/>
      <c r="B312" s="278"/>
      <c r="C312" s="278"/>
      <c r="D312" s="261" t="s">
        <v>153</v>
      </c>
      <c r="E312" s="264">
        <v>4</v>
      </c>
      <c r="F312" s="264">
        <v>5152</v>
      </c>
      <c r="G312" s="264">
        <v>20609</v>
      </c>
      <c r="H312" s="264">
        <v>790</v>
      </c>
      <c r="I312" s="264">
        <v>3160</v>
      </c>
      <c r="J312" s="264">
        <v>17449</v>
      </c>
    </row>
    <row r="313" spans="1:10" ht="29.1" customHeight="1" x14ac:dyDescent="0.2">
      <c r="A313" s="278"/>
      <c r="B313" s="277" t="s">
        <v>247</v>
      </c>
      <c r="C313" s="280" t="s">
        <v>75</v>
      </c>
      <c r="D313" s="261" t="s">
        <v>91</v>
      </c>
      <c r="E313" s="264">
        <v>1</v>
      </c>
      <c r="F313" s="264">
        <v>18108</v>
      </c>
      <c r="G313" s="264">
        <v>18108</v>
      </c>
      <c r="H313" s="264">
        <v>1188</v>
      </c>
      <c r="I313" s="264">
        <v>1188</v>
      </c>
      <c r="J313" s="264">
        <v>16920</v>
      </c>
    </row>
    <row r="314" spans="1:10" ht="14.1" customHeight="1" x14ac:dyDescent="0.2">
      <c r="A314" s="278"/>
      <c r="B314" s="278"/>
      <c r="C314" s="278"/>
      <c r="D314" s="261" t="s">
        <v>97</v>
      </c>
      <c r="E314" s="264">
        <v>2</v>
      </c>
      <c r="F314" s="264">
        <v>11317</v>
      </c>
      <c r="G314" s="264">
        <v>22634</v>
      </c>
      <c r="H314" s="264">
        <v>1188</v>
      </c>
      <c r="I314" s="264">
        <v>2376</v>
      </c>
      <c r="J314" s="264">
        <v>20258</v>
      </c>
    </row>
    <row r="315" spans="1:10" ht="14.1" customHeight="1" x14ac:dyDescent="0.2">
      <c r="A315" s="278"/>
      <c r="B315" s="278"/>
      <c r="C315" s="278"/>
      <c r="D315" s="261" t="s">
        <v>90</v>
      </c>
      <c r="E315" s="264">
        <v>3</v>
      </c>
      <c r="F315" s="264">
        <v>7696</v>
      </c>
      <c r="G315" s="264">
        <v>23087</v>
      </c>
      <c r="H315" s="264">
        <v>1188</v>
      </c>
      <c r="I315" s="264">
        <v>3564</v>
      </c>
      <c r="J315" s="264">
        <v>19523</v>
      </c>
    </row>
    <row r="316" spans="1:10" ht="14.1" customHeight="1" x14ac:dyDescent="0.2">
      <c r="A316" s="278"/>
      <c r="B316" s="278"/>
      <c r="C316" s="278"/>
      <c r="D316" s="261" t="s">
        <v>100</v>
      </c>
      <c r="E316" s="264">
        <v>1</v>
      </c>
      <c r="F316" s="264">
        <v>4981</v>
      </c>
      <c r="G316" s="264">
        <v>4981</v>
      </c>
      <c r="H316" s="264">
        <v>1188</v>
      </c>
      <c r="I316" s="264">
        <v>1188</v>
      </c>
      <c r="J316" s="264">
        <v>3793</v>
      </c>
    </row>
    <row r="317" spans="1:10" ht="42.95" customHeight="1" x14ac:dyDescent="0.2">
      <c r="A317" s="278"/>
      <c r="B317" s="278"/>
      <c r="C317" s="277" t="s">
        <v>243</v>
      </c>
      <c r="D317" s="261" t="s">
        <v>86</v>
      </c>
      <c r="E317" s="264">
        <v>2</v>
      </c>
      <c r="F317" s="264">
        <v>19577</v>
      </c>
      <c r="G317" s="264">
        <v>39154</v>
      </c>
      <c r="H317" s="264">
        <v>2657</v>
      </c>
      <c r="I317" s="264">
        <v>5314</v>
      </c>
      <c r="J317" s="264">
        <v>33840</v>
      </c>
    </row>
    <row r="318" spans="1:10" ht="14.1" customHeight="1" x14ac:dyDescent="0.2">
      <c r="A318" s="278"/>
      <c r="B318" s="278"/>
      <c r="C318" s="278"/>
      <c r="D318" s="261" t="s">
        <v>87</v>
      </c>
      <c r="E318" s="264">
        <v>1</v>
      </c>
      <c r="F318" s="264">
        <v>12786</v>
      </c>
      <c r="G318" s="264">
        <v>12786</v>
      </c>
      <c r="H318" s="264">
        <v>2657</v>
      </c>
      <c r="I318" s="264">
        <v>2657</v>
      </c>
      <c r="J318" s="264">
        <v>10129</v>
      </c>
    </row>
    <row r="319" spans="1:10" ht="14.1" customHeight="1" x14ac:dyDescent="0.2">
      <c r="A319" s="278"/>
      <c r="B319" s="278"/>
      <c r="C319" s="278"/>
      <c r="D319" s="261" t="s">
        <v>84</v>
      </c>
      <c r="E319" s="264">
        <v>26</v>
      </c>
      <c r="F319" s="264">
        <v>9165</v>
      </c>
      <c r="G319" s="264">
        <v>238283</v>
      </c>
      <c r="H319" s="264">
        <v>2657</v>
      </c>
      <c r="I319" s="264">
        <v>69083</v>
      </c>
      <c r="J319" s="264">
        <v>169200</v>
      </c>
    </row>
    <row r="320" spans="1:10" ht="42.95" customHeight="1" x14ac:dyDescent="0.2">
      <c r="A320" s="278"/>
      <c r="B320" s="278"/>
      <c r="C320" s="263" t="s">
        <v>244</v>
      </c>
      <c r="D320" s="261" t="s">
        <v>84</v>
      </c>
      <c r="E320" s="264">
        <v>2</v>
      </c>
      <c r="F320" s="264">
        <v>8486</v>
      </c>
      <c r="G320" s="264">
        <v>16971</v>
      </c>
      <c r="H320" s="264">
        <v>2430</v>
      </c>
      <c r="I320" s="264">
        <v>4859</v>
      </c>
      <c r="J320" s="264">
        <v>12112</v>
      </c>
    </row>
    <row r="321" spans="1:10" ht="42.95" customHeight="1" x14ac:dyDescent="0.2">
      <c r="A321" s="278"/>
      <c r="B321" s="278"/>
      <c r="C321" s="277" t="s">
        <v>245</v>
      </c>
      <c r="D321" s="261" t="s">
        <v>92</v>
      </c>
      <c r="E321" s="264">
        <v>88</v>
      </c>
      <c r="F321" s="264">
        <v>31120</v>
      </c>
      <c r="G321" s="264">
        <v>2738597</v>
      </c>
      <c r="H321" s="264">
        <v>1978</v>
      </c>
      <c r="I321" s="264">
        <v>174050</v>
      </c>
      <c r="J321" s="264">
        <v>2564547</v>
      </c>
    </row>
    <row r="322" spans="1:10" ht="14.1" customHeight="1" x14ac:dyDescent="0.2">
      <c r="A322" s="278"/>
      <c r="B322" s="278"/>
      <c r="C322" s="278"/>
      <c r="D322" s="261" t="s">
        <v>86</v>
      </c>
      <c r="E322" s="264">
        <v>1799</v>
      </c>
      <c r="F322" s="264">
        <v>18898</v>
      </c>
      <c r="G322" s="264">
        <v>33997287</v>
      </c>
      <c r="H322" s="264">
        <v>1978</v>
      </c>
      <c r="I322" s="264">
        <v>3558138</v>
      </c>
      <c r="J322" s="264">
        <v>30439149</v>
      </c>
    </row>
    <row r="323" spans="1:10" ht="14.1" customHeight="1" x14ac:dyDescent="0.2">
      <c r="A323" s="278"/>
      <c r="B323" s="278"/>
      <c r="C323" s="278"/>
      <c r="D323" s="261" t="s">
        <v>87</v>
      </c>
      <c r="E323" s="264">
        <v>3582</v>
      </c>
      <c r="F323" s="264">
        <v>12107</v>
      </c>
      <c r="G323" s="264">
        <v>43367046</v>
      </c>
      <c r="H323" s="264">
        <v>1978</v>
      </c>
      <c r="I323" s="264">
        <v>7084630</v>
      </c>
      <c r="J323" s="264">
        <v>36282416</v>
      </c>
    </row>
    <row r="324" spans="1:10" ht="14.1" customHeight="1" x14ac:dyDescent="0.2">
      <c r="A324" s="278"/>
      <c r="B324" s="278"/>
      <c r="C324" s="278"/>
      <c r="D324" s="261" t="s">
        <v>84</v>
      </c>
      <c r="E324" s="264">
        <v>3386</v>
      </c>
      <c r="F324" s="264">
        <v>8486</v>
      </c>
      <c r="G324" s="264">
        <v>28732069</v>
      </c>
      <c r="H324" s="264">
        <v>1978</v>
      </c>
      <c r="I324" s="264">
        <v>6696973</v>
      </c>
      <c r="J324" s="264">
        <v>22035096</v>
      </c>
    </row>
    <row r="325" spans="1:10" ht="14.1" customHeight="1" x14ac:dyDescent="0.2">
      <c r="A325" s="278"/>
      <c r="B325" s="278"/>
      <c r="C325" s="278"/>
      <c r="D325" s="261" t="s">
        <v>85</v>
      </c>
      <c r="E325" s="264">
        <v>135</v>
      </c>
      <c r="F325" s="264">
        <v>5771</v>
      </c>
      <c r="G325" s="264">
        <v>779046</v>
      </c>
      <c r="H325" s="264">
        <v>1978</v>
      </c>
      <c r="I325" s="264">
        <v>267009</v>
      </c>
      <c r="J325" s="264">
        <v>512038</v>
      </c>
    </row>
    <row r="326" spans="1:10" ht="14.1" customHeight="1" x14ac:dyDescent="0.2">
      <c r="A326" s="278"/>
      <c r="B326" s="278"/>
      <c r="C326" s="278"/>
      <c r="D326" s="261" t="s">
        <v>96</v>
      </c>
      <c r="E326" s="264">
        <v>2</v>
      </c>
      <c r="F326" s="264">
        <v>3507</v>
      </c>
      <c r="G326" s="264">
        <v>7013</v>
      </c>
      <c r="H326" s="264">
        <v>1978</v>
      </c>
      <c r="I326" s="264">
        <v>3956</v>
      </c>
      <c r="J326" s="264">
        <v>3058</v>
      </c>
    </row>
    <row r="327" spans="1:10" ht="14.1" customHeight="1" x14ac:dyDescent="0.2">
      <c r="A327" s="278"/>
      <c r="B327" s="278"/>
      <c r="C327" s="278"/>
      <c r="D327" s="261" t="s">
        <v>88</v>
      </c>
      <c r="E327" s="264">
        <v>65</v>
      </c>
      <c r="F327" s="264">
        <v>2149</v>
      </c>
      <c r="G327" s="264">
        <v>139706</v>
      </c>
      <c r="H327" s="264">
        <v>1978</v>
      </c>
      <c r="I327" s="264">
        <v>128560</v>
      </c>
      <c r="J327" s="264">
        <v>11146</v>
      </c>
    </row>
    <row r="328" spans="1:10" ht="14.1" customHeight="1" x14ac:dyDescent="0.2">
      <c r="A328" s="278" t="s">
        <v>116</v>
      </c>
      <c r="B328" s="278" t="s">
        <v>60</v>
      </c>
      <c r="C328" s="278"/>
      <c r="D328" s="278"/>
      <c r="E328" s="264">
        <v>460</v>
      </c>
      <c r="F328" s="264"/>
      <c r="G328" s="264">
        <v>8650400</v>
      </c>
      <c r="H328" s="264">
        <v>4348</v>
      </c>
      <c r="I328" s="264"/>
      <c r="J328" s="264">
        <v>8274334</v>
      </c>
    </row>
    <row r="329" spans="1:10" ht="14.1" customHeight="1" x14ac:dyDescent="0.2">
      <c r="A329" s="278"/>
      <c r="B329" s="261" t="s">
        <v>71</v>
      </c>
      <c r="C329" s="261" t="s">
        <v>72</v>
      </c>
      <c r="D329" s="261" t="s">
        <v>73</v>
      </c>
      <c r="E329" s="281">
        <v>12</v>
      </c>
      <c r="F329" s="281">
        <v>12172</v>
      </c>
      <c r="G329" s="281">
        <v>146069</v>
      </c>
      <c r="H329" s="281">
        <v>1978</v>
      </c>
      <c r="I329" s="281">
        <v>23734</v>
      </c>
      <c r="J329" s="281">
        <v>122335</v>
      </c>
    </row>
    <row r="330" spans="1:10" ht="42.95" customHeight="1" x14ac:dyDescent="0.2">
      <c r="A330" s="278"/>
      <c r="B330" s="265" t="s">
        <v>74</v>
      </c>
      <c r="C330" s="263" t="s">
        <v>245</v>
      </c>
      <c r="D330" s="261" t="s">
        <v>79</v>
      </c>
      <c r="E330" s="282"/>
      <c r="F330" s="282"/>
      <c r="G330" s="282"/>
      <c r="H330" s="282"/>
      <c r="I330" s="282"/>
      <c r="J330" s="282"/>
    </row>
    <row r="331" spans="1:10" ht="42.95" customHeight="1" x14ac:dyDescent="0.2">
      <c r="A331" s="278"/>
      <c r="B331" s="277" t="s">
        <v>246</v>
      </c>
      <c r="C331" s="280" t="s">
        <v>75</v>
      </c>
      <c r="D331" s="261" t="s">
        <v>91</v>
      </c>
      <c r="E331" s="264">
        <v>1</v>
      </c>
      <c r="F331" s="264">
        <v>18108</v>
      </c>
      <c r="G331" s="264">
        <v>18108</v>
      </c>
      <c r="H331" s="264">
        <v>0</v>
      </c>
      <c r="I331" s="264">
        <v>0</v>
      </c>
      <c r="J331" s="264">
        <v>18108</v>
      </c>
    </row>
    <row r="332" spans="1:10" ht="14.1" customHeight="1" x14ac:dyDescent="0.2">
      <c r="A332" s="278"/>
      <c r="B332" s="278"/>
      <c r="C332" s="278"/>
      <c r="D332" s="261" t="s">
        <v>97</v>
      </c>
      <c r="E332" s="264">
        <v>1</v>
      </c>
      <c r="F332" s="264">
        <v>11317</v>
      </c>
      <c r="G332" s="264">
        <v>11317</v>
      </c>
      <c r="H332" s="264">
        <v>0</v>
      </c>
      <c r="I332" s="264">
        <v>0</v>
      </c>
      <c r="J332" s="264">
        <v>11317</v>
      </c>
    </row>
    <row r="333" spans="1:10" ht="42.95" customHeight="1" x14ac:dyDescent="0.2">
      <c r="A333" s="278"/>
      <c r="B333" s="278"/>
      <c r="C333" s="277" t="s">
        <v>245</v>
      </c>
      <c r="D333" s="261" t="s">
        <v>86</v>
      </c>
      <c r="E333" s="264">
        <v>427</v>
      </c>
      <c r="F333" s="264">
        <v>18898</v>
      </c>
      <c r="G333" s="264">
        <v>8069395</v>
      </c>
      <c r="H333" s="264">
        <v>790</v>
      </c>
      <c r="I333" s="264">
        <v>337322</v>
      </c>
      <c r="J333" s="264">
        <v>7732073</v>
      </c>
    </row>
    <row r="334" spans="1:10" ht="14.1" customHeight="1" x14ac:dyDescent="0.2">
      <c r="A334" s="278"/>
      <c r="B334" s="278"/>
      <c r="C334" s="278"/>
      <c r="D334" s="261" t="s">
        <v>87</v>
      </c>
      <c r="E334" s="264">
        <v>12</v>
      </c>
      <c r="F334" s="264">
        <v>12107</v>
      </c>
      <c r="G334" s="264">
        <v>145283</v>
      </c>
      <c r="H334" s="264">
        <v>790</v>
      </c>
      <c r="I334" s="264">
        <v>9480</v>
      </c>
      <c r="J334" s="264">
        <v>135803</v>
      </c>
    </row>
    <row r="335" spans="1:10" ht="14.1" customHeight="1" x14ac:dyDescent="0.2">
      <c r="A335" s="278"/>
      <c r="B335" s="278"/>
      <c r="C335" s="278"/>
      <c r="D335" s="261" t="s">
        <v>78</v>
      </c>
      <c r="E335" s="264">
        <v>7</v>
      </c>
      <c r="F335" s="264">
        <v>37175</v>
      </c>
      <c r="G335" s="264">
        <v>260227</v>
      </c>
      <c r="H335" s="264">
        <v>790</v>
      </c>
      <c r="I335" s="264">
        <v>5530</v>
      </c>
      <c r="J335" s="264">
        <v>254697</v>
      </c>
    </row>
    <row r="336" spans="1:10" ht="14.1" customHeight="1" x14ac:dyDescent="0.2">
      <c r="A336" s="278" t="s">
        <v>6</v>
      </c>
      <c r="B336" s="278" t="s">
        <v>60</v>
      </c>
      <c r="C336" s="278"/>
      <c r="D336" s="278"/>
      <c r="E336" s="264">
        <v>786</v>
      </c>
      <c r="F336" s="264"/>
      <c r="G336" s="264">
        <v>15746261</v>
      </c>
      <c r="H336" s="264">
        <v>6718</v>
      </c>
      <c r="I336" s="264"/>
      <c r="J336" s="264">
        <v>14833514</v>
      </c>
    </row>
    <row r="337" spans="1:10" ht="14.1" customHeight="1" x14ac:dyDescent="0.2">
      <c r="A337" s="278"/>
      <c r="B337" s="261" t="s">
        <v>71</v>
      </c>
      <c r="C337" s="261" t="s">
        <v>72</v>
      </c>
      <c r="D337" s="261" t="s">
        <v>73</v>
      </c>
      <c r="E337" s="281">
        <v>247</v>
      </c>
      <c r="F337" s="281">
        <v>12172</v>
      </c>
      <c r="G337" s="281">
        <v>3006594</v>
      </c>
      <c r="H337" s="281">
        <v>1978</v>
      </c>
      <c r="I337" s="281">
        <v>488527</v>
      </c>
      <c r="J337" s="281">
        <v>2518067</v>
      </c>
    </row>
    <row r="338" spans="1:10" ht="42.95" customHeight="1" x14ac:dyDescent="0.2">
      <c r="A338" s="278"/>
      <c r="B338" s="265" t="s">
        <v>74</v>
      </c>
      <c r="C338" s="263" t="s">
        <v>245</v>
      </c>
      <c r="D338" s="261" t="s">
        <v>79</v>
      </c>
      <c r="E338" s="282"/>
      <c r="F338" s="282"/>
      <c r="G338" s="282"/>
      <c r="H338" s="282"/>
      <c r="I338" s="282"/>
      <c r="J338" s="282"/>
    </row>
    <row r="339" spans="1:10" ht="42.95" customHeight="1" x14ac:dyDescent="0.2">
      <c r="A339" s="278"/>
      <c r="B339" s="277" t="s">
        <v>246</v>
      </c>
      <c r="C339" s="280" t="s">
        <v>75</v>
      </c>
      <c r="D339" s="261" t="s">
        <v>91</v>
      </c>
      <c r="E339" s="264">
        <v>1</v>
      </c>
      <c r="F339" s="264">
        <v>18108</v>
      </c>
      <c r="G339" s="264">
        <v>18108</v>
      </c>
      <c r="H339" s="264">
        <v>0</v>
      </c>
      <c r="I339" s="264">
        <v>0</v>
      </c>
      <c r="J339" s="264">
        <v>18108</v>
      </c>
    </row>
    <row r="340" spans="1:10" ht="14.1" customHeight="1" x14ac:dyDescent="0.2">
      <c r="A340" s="278"/>
      <c r="B340" s="278"/>
      <c r="C340" s="278"/>
      <c r="D340" s="261" t="s">
        <v>76</v>
      </c>
      <c r="E340" s="264">
        <v>1</v>
      </c>
      <c r="F340" s="264">
        <v>36385</v>
      </c>
      <c r="G340" s="264">
        <v>36385</v>
      </c>
      <c r="H340" s="264">
        <v>0</v>
      </c>
      <c r="I340" s="264">
        <v>0</v>
      </c>
      <c r="J340" s="264">
        <v>36385</v>
      </c>
    </row>
    <row r="341" spans="1:10" ht="42.95" customHeight="1" x14ac:dyDescent="0.2">
      <c r="A341" s="278"/>
      <c r="B341" s="278"/>
      <c r="C341" s="277" t="s">
        <v>245</v>
      </c>
      <c r="D341" s="261" t="s">
        <v>92</v>
      </c>
      <c r="E341" s="264">
        <v>12</v>
      </c>
      <c r="F341" s="264">
        <v>31120</v>
      </c>
      <c r="G341" s="264">
        <v>373445</v>
      </c>
      <c r="H341" s="264">
        <v>790</v>
      </c>
      <c r="I341" s="264">
        <v>9480</v>
      </c>
      <c r="J341" s="264">
        <v>363965</v>
      </c>
    </row>
    <row r="342" spans="1:10" ht="14.1" customHeight="1" x14ac:dyDescent="0.2">
      <c r="A342" s="278"/>
      <c r="B342" s="278"/>
      <c r="C342" s="278"/>
      <c r="D342" s="261" t="s">
        <v>86</v>
      </c>
      <c r="E342" s="264">
        <v>355</v>
      </c>
      <c r="F342" s="264">
        <v>18898</v>
      </c>
      <c r="G342" s="264">
        <v>6708748</v>
      </c>
      <c r="H342" s="264">
        <v>790</v>
      </c>
      <c r="I342" s="264">
        <v>280443</v>
      </c>
      <c r="J342" s="264">
        <v>6428304</v>
      </c>
    </row>
    <row r="343" spans="1:10" ht="14.1" customHeight="1" x14ac:dyDescent="0.2">
      <c r="A343" s="278"/>
      <c r="B343" s="278"/>
      <c r="C343" s="278"/>
      <c r="D343" s="261" t="s">
        <v>87</v>
      </c>
      <c r="E343" s="264">
        <v>6</v>
      </c>
      <c r="F343" s="264">
        <v>12107</v>
      </c>
      <c r="G343" s="264">
        <v>72642</v>
      </c>
      <c r="H343" s="264">
        <v>790</v>
      </c>
      <c r="I343" s="264">
        <v>4740</v>
      </c>
      <c r="J343" s="264">
        <v>67902</v>
      </c>
    </row>
    <row r="344" spans="1:10" ht="14.1" customHeight="1" x14ac:dyDescent="0.2">
      <c r="A344" s="278"/>
      <c r="B344" s="278"/>
      <c r="C344" s="278"/>
      <c r="D344" s="261" t="s">
        <v>84</v>
      </c>
      <c r="E344" s="264">
        <v>3</v>
      </c>
      <c r="F344" s="264">
        <v>8486</v>
      </c>
      <c r="G344" s="264">
        <v>25457</v>
      </c>
      <c r="H344" s="264">
        <v>790</v>
      </c>
      <c r="I344" s="264">
        <v>2370</v>
      </c>
      <c r="J344" s="264">
        <v>23087</v>
      </c>
    </row>
    <row r="345" spans="1:10" ht="14.1" customHeight="1" x14ac:dyDescent="0.2">
      <c r="A345" s="278"/>
      <c r="B345" s="278"/>
      <c r="C345" s="278"/>
      <c r="D345" s="261" t="s">
        <v>78</v>
      </c>
      <c r="E345" s="264">
        <v>146</v>
      </c>
      <c r="F345" s="264">
        <v>37175</v>
      </c>
      <c r="G345" s="264">
        <v>5427599</v>
      </c>
      <c r="H345" s="264">
        <v>790</v>
      </c>
      <c r="I345" s="264">
        <v>115337</v>
      </c>
      <c r="J345" s="264">
        <v>5312262</v>
      </c>
    </row>
    <row r="346" spans="1:10" ht="14.1" customHeight="1" x14ac:dyDescent="0.2">
      <c r="A346" s="278"/>
      <c r="B346" s="278"/>
      <c r="C346" s="278"/>
      <c r="D346" s="261" t="s">
        <v>153</v>
      </c>
      <c r="E346" s="264">
        <v>15</v>
      </c>
      <c r="F346" s="264">
        <v>5152</v>
      </c>
      <c r="G346" s="264">
        <v>77283</v>
      </c>
      <c r="H346" s="264">
        <v>790</v>
      </c>
      <c r="I346" s="264">
        <v>11850</v>
      </c>
      <c r="J346" s="264">
        <v>65434</v>
      </c>
    </row>
    <row r="347" spans="1:10" ht="29.1" customHeight="1" x14ac:dyDescent="0.2">
      <c r="A347" s="277" t="s">
        <v>250</v>
      </c>
      <c r="B347" s="278" t="s">
        <v>60</v>
      </c>
      <c r="C347" s="278"/>
      <c r="D347" s="278"/>
      <c r="E347" s="264">
        <v>45686</v>
      </c>
      <c r="F347" s="264"/>
      <c r="G347" s="264">
        <v>673763376</v>
      </c>
      <c r="H347" s="264">
        <v>107765</v>
      </c>
      <c r="I347" s="264"/>
      <c r="J347" s="264">
        <v>603827614</v>
      </c>
    </row>
    <row r="348" spans="1:10" ht="14.1" customHeight="1" x14ac:dyDescent="0.2">
      <c r="A348" s="278"/>
      <c r="B348" s="261" t="s">
        <v>71</v>
      </c>
      <c r="C348" s="261" t="s">
        <v>72</v>
      </c>
      <c r="D348" s="261" t="s">
        <v>73</v>
      </c>
      <c r="E348" s="281">
        <v>76</v>
      </c>
      <c r="F348" s="281">
        <v>11382</v>
      </c>
      <c r="G348" s="281">
        <v>865067</v>
      </c>
      <c r="H348" s="281">
        <v>0</v>
      </c>
      <c r="I348" s="281">
        <v>0</v>
      </c>
      <c r="J348" s="281">
        <v>865067</v>
      </c>
    </row>
    <row r="349" spans="1:10" ht="14.1" customHeight="1" x14ac:dyDescent="0.2">
      <c r="A349" s="278"/>
      <c r="B349" s="279" t="s">
        <v>74</v>
      </c>
      <c r="C349" s="262" t="s">
        <v>75</v>
      </c>
      <c r="D349" s="261" t="s">
        <v>77</v>
      </c>
      <c r="E349" s="282"/>
      <c r="F349" s="282"/>
      <c r="G349" s="282"/>
      <c r="H349" s="282"/>
      <c r="I349" s="282"/>
      <c r="J349" s="282"/>
    </row>
    <row r="350" spans="1:10" ht="42.95" customHeight="1" x14ac:dyDescent="0.2">
      <c r="A350" s="278"/>
      <c r="B350" s="278"/>
      <c r="C350" s="263" t="s">
        <v>243</v>
      </c>
      <c r="D350" s="261" t="s">
        <v>79</v>
      </c>
      <c r="E350" s="264">
        <v>6</v>
      </c>
      <c r="F350" s="264">
        <v>12852</v>
      </c>
      <c r="G350" s="264">
        <v>77110</v>
      </c>
      <c r="H350" s="264">
        <v>2657</v>
      </c>
      <c r="I350" s="264">
        <v>15942</v>
      </c>
      <c r="J350" s="264">
        <v>61168</v>
      </c>
    </row>
    <row r="351" spans="1:10" ht="42.95" customHeight="1" x14ac:dyDescent="0.2">
      <c r="A351" s="278"/>
      <c r="B351" s="278"/>
      <c r="C351" s="263" t="s">
        <v>244</v>
      </c>
      <c r="D351" s="261" t="s">
        <v>79</v>
      </c>
      <c r="E351" s="264">
        <v>13</v>
      </c>
      <c r="F351" s="264">
        <v>12346</v>
      </c>
      <c r="G351" s="264">
        <v>160501</v>
      </c>
      <c r="H351" s="264">
        <v>2430</v>
      </c>
      <c r="I351" s="264">
        <v>31586</v>
      </c>
      <c r="J351" s="264">
        <v>128915</v>
      </c>
    </row>
    <row r="352" spans="1:10" ht="42.95" customHeight="1" x14ac:dyDescent="0.2">
      <c r="A352" s="278"/>
      <c r="B352" s="278"/>
      <c r="C352" s="263" t="s">
        <v>245</v>
      </c>
      <c r="D352" s="261" t="s">
        <v>79</v>
      </c>
      <c r="E352" s="264">
        <v>3810</v>
      </c>
      <c r="F352" s="264">
        <v>12172</v>
      </c>
      <c r="G352" s="264">
        <v>46377023</v>
      </c>
      <c r="H352" s="264">
        <v>1978</v>
      </c>
      <c r="I352" s="264">
        <v>7535578</v>
      </c>
      <c r="J352" s="264">
        <v>38841445</v>
      </c>
    </row>
    <row r="353" spans="1:10" ht="42.95" customHeight="1" x14ac:dyDescent="0.2">
      <c r="A353" s="278"/>
      <c r="B353" s="279" t="s">
        <v>89</v>
      </c>
      <c r="C353" s="277" t="s">
        <v>243</v>
      </c>
      <c r="D353" s="261" t="s">
        <v>94</v>
      </c>
      <c r="E353" s="264">
        <v>1</v>
      </c>
      <c r="F353" s="264">
        <v>0</v>
      </c>
      <c r="G353" s="264">
        <v>0</v>
      </c>
      <c r="H353" s="264">
        <v>0</v>
      </c>
      <c r="I353" s="264">
        <v>0</v>
      </c>
      <c r="J353" s="264">
        <v>0</v>
      </c>
    </row>
    <row r="354" spans="1:10" ht="14.1" customHeight="1" x14ac:dyDescent="0.2">
      <c r="A354" s="278"/>
      <c r="B354" s="278"/>
      <c r="C354" s="278"/>
      <c r="D354" s="261" t="s">
        <v>84</v>
      </c>
      <c r="E354" s="264">
        <v>2</v>
      </c>
      <c r="F354" s="264">
        <v>9165</v>
      </c>
      <c r="G354" s="264">
        <v>18329</v>
      </c>
      <c r="H354" s="264">
        <v>2296</v>
      </c>
      <c r="I354" s="264">
        <v>4592</v>
      </c>
      <c r="J354" s="264">
        <v>13737</v>
      </c>
    </row>
    <row r="355" spans="1:10" ht="42.95" customHeight="1" x14ac:dyDescent="0.2">
      <c r="A355" s="278"/>
      <c r="B355" s="278"/>
      <c r="C355" s="277" t="s">
        <v>245</v>
      </c>
      <c r="D355" s="261" t="s">
        <v>101</v>
      </c>
      <c r="E355" s="264">
        <v>2</v>
      </c>
      <c r="F355" s="264">
        <v>17488</v>
      </c>
      <c r="G355" s="264">
        <v>34976</v>
      </c>
      <c r="H355" s="264">
        <v>10619</v>
      </c>
      <c r="I355" s="264">
        <v>21239</v>
      </c>
      <c r="J355" s="264">
        <v>13737</v>
      </c>
    </row>
    <row r="356" spans="1:10" ht="14.1" customHeight="1" x14ac:dyDescent="0.2">
      <c r="A356" s="278"/>
      <c r="B356" s="278"/>
      <c r="C356" s="278"/>
      <c r="D356" s="261" t="s">
        <v>94</v>
      </c>
      <c r="E356" s="264">
        <v>4</v>
      </c>
      <c r="F356" s="264">
        <v>0</v>
      </c>
      <c r="G356" s="264">
        <v>0</v>
      </c>
      <c r="H356" s="264">
        <v>0</v>
      </c>
      <c r="I356" s="264">
        <v>0</v>
      </c>
      <c r="J356" s="264">
        <v>0</v>
      </c>
    </row>
    <row r="357" spans="1:10" ht="14.1" customHeight="1" x14ac:dyDescent="0.2">
      <c r="A357" s="278"/>
      <c r="B357" s="278"/>
      <c r="C357" s="278"/>
      <c r="D357" s="261" t="s">
        <v>84</v>
      </c>
      <c r="E357" s="264">
        <v>4270</v>
      </c>
      <c r="F357" s="264">
        <v>8486</v>
      </c>
      <c r="G357" s="264">
        <v>36235332</v>
      </c>
      <c r="H357" s="264">
        <v>1617</v>
      </c>
      <c r="I357" s="264">
        <v>6906702</v>
      </c>
      <c r="J357" s="264">
        <v>29328631</v>
      </c>
    </row>
    <row r="358" spans="1:10" ht="14.1" customHeight="1" x14ac:dyDescent="0.2">
      <c r="A358" s="278"/>
      <c r="B358" s="278"/>
      <c r="C358" s="278"/>
      <c r="D358" s="261" t="s">
        <v>105</v>
      </c>
      <c r="E358" s="264">
        <v>286</v>
      </c>
      <c r="F358" s="264">
        <v>8809</v>
      </c>
      <c r="G358" s="264">
        <v>2519233</v>
      </c>
      <c r="H358" s="264">
        <v>1940</v>
      </c>
      <c r="I358" s="264">
        <v>554833</v>
      </c>
      <c r="J358" s="264">
        <v>1964400</v>
      </c>
    </row>
    <row r="359" spans="1:10" ht="14.1" customHeight="1" x14ac:dyDescent="0.2">
      <c r="A359" s="278"/>
      <c r="B359" s="279" t="s">
        <v>80</v>
      </c>
      <c r="C359" s="280" t="s">
        <v>75</v>
      </c>
      <c r="D359" s="261" t="s">
        <v>81</v>
      </c>
      <c r="E359" s="264">
        <v>352</v>
      </c>
      <c r="F359" s="264">
        <v>22977</v>
      </c>
      <c r="G359" s="264">
        <v>8087791</v>
      </c>
      <c r="H359" s="264">
        <v>3812</v>
      </c>
      <c r="I359" s="264">
        <v>1341672</v>
      </c>
      <c r="J359" s="264">
        <v>6746119</v>
      </c>
    </row>
    <row r="360" spans="1:10" ht="14.1" customHeight="1" x14ac:dyDescent="0.2">
      <c r="A360" s="278"/>
      <c r="B360" s="278"/>
      <c r="C360" s="278"/>
      <c r="D360" s="261" t="s">
        <v>82</v>
      </c>
      <c r="E360" s="264">
        <v>877</v>
      </c>
      <c r="F360" s="264">
        <v>19789</v>
      </c>
      <c r="G360" s="264">
        <v>17355110</v>
      </c>
      <c r="H360" s="264">
        <v>3812</v>
      </c>
      <c r="I360" s="264">
        <v>3342744</v>
      </c>
      <c r="J360" s="264">
        <v>14012366</v>
      </c>
    </row>
    <row r="361" spans="1:10" ht="42.95" customHeight="1" x14ac:dyDescent="0.2">
      <c r="A361" s="278"/>
      <c r="B361" s="277" t="s">
        <v>246</v>
      </c>
      <c r="C361" s="280" t="s">
        <v>75</v>
      </c>
      <c r="D361" s="261" t="s">
        <v>99</v>
      </c>
      <c r="E361" s="264">
        <v>1</v>
      </c>
      <c r="F361" s="264">
        <v>30330</v>
      </c>
      <c r="G361" s="264">
        <v>30330</v>
      </c>
      <c r="H361" s="264">
        <v>0</v>
      </c>
      <c r="I361" s="264">
        <v>0</v>
      </c>
      <c r="J361" s="264">
        <v>30330</v>
      </c>
    </row>
    <row r="362" spans="1:10" ht="14.1" customHeight="1" x14ac:dyDescent="0.2">
      <c r="A362" s="278"/>
      <c r="B362" s="278"/>
      <c r="C362" s="278"/>
      <c r="D362" s="261" t="s">
        <v>91</v>
      </c>
      <c r="E362" s="264">
        <v>4</v>
      </c>
      <c r="F362" s="264">
        <v>18108</v>
      </c>
      <c r="G362" s="264">
        <v>72432</v>
      </c>
      <c r="H362" s="264">
        <v>0</v>
      </c>
      <c r="I362" s="264">
        <v>0</v>
      </c>
      <c r="J362" s="264">
        <v>72432</v>
      </c>
    </row>
    <row r="363" spans="1:10" ht="14.1" customHeight="1" x14ac:dyDescent="0.2">
      <c r="A363" s="278"/>
      <c r="B363" s="278"/>
      <c r="C363" s="278"/>
      <c r="D363" s="261" t="s">
        <v>90</v>
      </c>
      <c r="E363" s="264">
        <v>22</v>
      </c>
      <c r="F363" s="264">
        <v>7696</v>
      </c>
      <c r="G363" s="264">
        <v>169303</v>
      </c>
      <c r="H363" s="264">
        <v>0</v>
      </c>
      <c r="I363" s="264">
        <v>0</v>
      </c>
      <c r="J363" s="264">
        <v>169303</v>
      </c>
    </row>
    <row r="364" spans="1:10" ht="14.1" customHeight="1" x14ac:dyDescent="0.2">
      <c r="A364" s="278"/>
      <c r="B364" s="278"/>
      <c r="C364" s="278"/>
      <c r="D364" s="261" t="s">
        <v>100</v>
      </c>
      <c r="E364" s="264">
        <v>1</v>
      </c>
      <c r="F364" s="264">
        <v>4981</v>
      </c>
      <c r="G364" s="264">
        <v>4981</v>
      </c>
      <c r="H364" s="264">
        <v>0</v>
      </c>
      <c r="I364" s="264">
        <v>0</v>
      </c>
      <c r="J364" s="264">
        <v>4981</v>
      </c>
    </row>
    <row r="365" spans="1:10" ht="14.1" customHeight="1" x14ac:dyDescent="0.2">
      <c r="A365" s="278"/>
      <c r="B365" s="278"/>
      <c r="C365" s="278"/>
      <c r="D365" s="261" t="s">
        <v>98</v>
      </c>
      <c r="E365" s="264">
        <v>1</v>
      </c>
      <c r="F365" s="264">
        <v>2717</v>
      </c>
      <c r="G365" s="264">
        <v>2717</v>
      </c>
      <c r="H365" s="264">
        <v>0</v>
      </c>
      <c r="I365" s="264">
        <v>0</v>
      </c>
      <c r="J365" s="264">
        <v>2717</v>
      </c>
    </row>
    <row r="366" spans="1:10" ht="14.1" customHeight="1" x14ac:dyDescent="0.2">
      <c r="A366" s="278"/>
      <c r="B366" s="278"/>
      <c r="C366" s="278"/>
      <c r="D366" s="261" t="s">
        <v>76</v>
      </c>
      <c r="E366" s="264">
        <v>522</v>
      </c>
      <c r="F366" s="264">
        <v>36385</v>
      </c>
      <c r="G366" s="264">
        <v>18993156</v>
      </c>
      <c r="H366" s="264">
        <v>0</v>
      </c>
      <c r="I366" s="264">
        <v>0</v>
      </c>
      <c r="J366" s="264">
        <v>18993156</v>
      </c>
    </row>
    <row r="367" spans="1:10" ht="14.1" customHeight="1" x14ac:dyDescent="0.2">
      <c r="A367" s="278"/>
      <c r="B367" s="278"/>
      <c r="C367" s="278"/>
      <c r="D367" s="261" t="s">
        <v>155</v>
      </c>
      <c r="E367" s="264">
        <v>19</v>
      </c>
      <c r="F367" s="264">
        <v>4362</v>
      </c>
      <c r="G367" s="264">
        <v>82882</v>
      </c>
      <c r="H367" s="264">
        <v>0</v>
      </c>
      <c r="I367" s="264">
        <v>0</v>
      </c>
      <c r="J367" s="264">
        <v>82882</v>
      </c>
    </row>
    <row r="368" spans="1:10" ht="14.1" customHeight="1" x14ac:dyDescent="0.2">
      <c r="A368" s="278"/>
      <c r="B368" s="278"/>
      <c r="C368" s="278"/>
      <c r="D368" s="261" t="s">
        <v>151</v>
      </c>
      <c r="E368" s="264">
        <v>269</v>
      </c>
      <c r="F368" s="264">
        <v>5752</v>
      </c>
      <c r="G368" s="264">
        <v>1547398</v>
      </c>
      <c r="H368" s="264">
        <v>0</v>
      </c>
      <c r="I368" s="264">
        <v>0</v>
      </c>
      <c r="J368" s="264">
        <v>1547398</v>
      </c>
    </row>
    <row r="369" spans="1:10" ht="42.95" customHeight="1" x14ac:dyDescent="0.2">
      <c r="A369" s="278"/>
      <c r="B369" s="278"/>
      <c r="C369" s="277" t="s">
        <v>243</v>
      </c>
      <c r="D369" s="261" t="s">
        <v>83</v>
      </c>
      <c r="E369" s="264">
        <v>57</v>
      </c>
      <c r="F369" s="264">
        <v>3452</v>
      </c>
      <c r="G369" s="264">
        <v>196754</v>
      </c>
      <c r="H369" s="264">
        <v>1469</v>
      </c>
      <c r="I369" s="264">
        <v>83743</v>
      </c>
      <c r="J369" s="264">
        <v>113012</v>
      </c>
    </row>
    <row r="370" spans="1:10" ht="14.1" customHeight="1" x14ac:dyDescent="0.2">
      <c r="A370" s="278"/>
      <c r="B370" s="278"/>
      <c r="C370" s="278"/>
      <c r="D370" s="261" t="s">
        <v>86</v>
      </c>
      <c r="E370" s="264">
        <v>3</v>
      </c>
      <c r="F370" s="264">
        <v>19577</v>
      </c>
      <c r="G370" s="264">
        <v>58731</v>
      </c>
      <c r="H370" s="264">
        <v>1469</v>
      </c>
      <c r="I370" s="264">
        <v>4408</v>
      </c>
      <c r="J370" s="264">
        <v>54324</v>
      </c>
    </row>
    <row r="371" spans="1:10" ht="14.1" customHeight="1" x14ac:dyDescent="0.2">
      <c r="A371" s="278"/>
      <c r="B371" s="278"/>
      <c r="C371" s="278"/>
      <c r="D371" s="261" t="s">
        <v>84</v>
      </c>
      <c r="E371" s="264">
        <v>8</v>
      </c>
      <c r="F371" s="264">
        <v>9165</v>
      </c>
      <c r="G371" s="264">
        <v>73318</v>
      </c>
      <c r="H371" s="264">
        <v>1469</v>
      </c>
      <c r="I371" s="264">
        <v>11753</v>
      </c>
      <c r="J371" s="264">
        <v>61565</v>
      </c>
    </row>
    <row r="372" spans="1:10" ht="14.1" customHeight="1" x14ac:dyDescent="0.2">
      <c r="A372" s="278"/>
      <c r="B372" s="278"/>
      <c r="C372" s="278"/>
      <c r="D372" s="261" t="s">
        <v>96</v>
      </c>
      <c r="E372" s="264">
        <v>2</v>
      </c>
      <c r="F372" s="264">
        <v>4186</v>
      </c>
      <c r="G372" s="264">
        <v>8372</v>
      </c>
      <c r="H372" s="264">
        <v>1469</v>
      </c>
      <c r="I372" s="264">
        <v>2938</v>
      </c>
      <c r="J372" s="264">
        <v>5434</v>
      </c>
    </row>
    <row r="373" spans="1:10" ht="14.1" customHeight="1" x14ac:dyDescent="0.2">
      <c r="A373" s="278"/>
      <c r="B373" s="278"/>
      <c r="C373" s="278"/>
      <c r="D373" s="261" t="s">
        <v>78</v>
      </c>
      <c r="E373" s="264">
        <v>37</v>
      </c>
      <c r="F373" s="264">
        <v>37855</v>
      </c>
      <c r="G373" s="264">
        <v>1400618</v>
      </c>
      <c r="H373" s="264">
        <v>1469</v>
      </c>
      <c r="I373" s="264">
        <v>54359</v>
      </c>
      <c r="J373" s="264">
        <v>1346258</v>
      </c>
    </row>
    <row r="374" spans="1:10" ht="14.1" customHeight="1" x14ac:dyDescent="0.2">
      <c r="A374" s="278"/>
      <c r="B374" s="278"/>
      <c r="C374" s="278"/>
      <c r="D374" s="261" t="s">
        <v>153</v>
      </c>
      <c r="E374" s="264">
        <v>59</v>
      </c>
      <c r="F374" s="264">
        <v>5831</v>
      </c>
      <c r="G374" s="264">
        <v>344053</v>
      </c>
      <c r="H374" s="264">
        <v>1469</v>
      </c>
      <c r="I374" s="264">
        <v>86681</v>
      </c>
      <c r="J374" s="264">
        <v>257372</v>
      </c>
    </row>
    <row r="375" spans="1:10" ht="14.1" customHeight="1" x14ac:dyDescent="0.2">
      <c r="A375" s="278"/>
      <c r="B375" s="278"/>
      <c r="C375" s="278"/>
      <c r="D375" s="261" t="s">
        <v>154</v>
      </c>
      <c r="E375" s="264">
        <v>5</v>
      </c>
      <c r="F375" s="264">
        <v>7222</v>
      </c>
      <c r="G375" s="264">
        <v>36108</v>
      </c>
      <c r="H375" s="264">
        <v>1469</v>
      </c>
      <c r="I375" s="264">
        <v>7346</v>
      </c>
      <c r="J375" s="264">
        <v>28762</v>
      </c>
    </row>
    <row r="376" spans="1:10" ht="42.95" customHeight="1" x14ac:dyDescent="0.2">
      <c r="A376" s="278"/>
      <c r="B376" s="278"/>
      <c r="C376" s="277" t="s">
        <v>244</v>
      </c>
      <c r="D376" s="261" t="s">
        <v>83</v>
      </c>
      <c r="E376" s="264">
        <v>15</v>
      </c>
      <c r="F376" s="264">
        <v>3044</v>
      </c>
      <c r="G376" s="264">
        <v>45656</v>
      </c>
      <c r="H376" s="264">
        <v>1242</v>
      </c>
      <c r="I376" s="264">
        <v>18627</v>
      </c>
      <c r="J376" s="264">
        <v>27029</v>
      </c>
    </row>
    <row r="377" spans="1:10" ht="14.1" customHeight="1" x14ac:dyDescent="0.2">
      <c r="A377" s="278"/>
      <c r="B377" s="278"/>
      <c r="C377" s="278"/>
      <c r="D377" s="261" t="s">
        <v>102</v>
      </c>
      <c r="E377" s="264">
        <v>21</v>
      </c>
      <c r="F377" s="264">
        <v>98116</v>
      </c>
      <c r="G377" s="264">
        <v>2060428</v>
      </c>
      <c r="H377" s="264">
        <v>1242</v>
      </c>
      <c r="I377" s="264">
        <v>26078</v>
      </c>
      <c r="J377" s="264">
        <v>2034350</v>
      </c>
    </row>
    <row r="378" spans="1:10" ht="14.1" customHeight="1" x14ac:dyDescent="0.2">
      <c r="A378" s="278"/>
      <c r="B378" s="278"/>
      <c r="C378" s="278"/>
      <c r="D378" s="261" t="s">
        <v>92</v>
      </c>
      <c r="E378" s="264">
        <v>29</v>
      </c>
      <c r="F378" s="264">
        <v>31541</v>
      </c>
      <c r="G378" s="264">
        <v>914692</v>
      </c>
      <c r="H378" s="264">
        <v>1242</v>
      </c>
      <c r="I378" s="264">
        <v>36013</v>
      </c>
      <c r="J378" s="264">
        <v>878679</v>
      </c>
    </row>
    <row r="379" spans="1:10" ht="14.1" customHeight="1" x14ac:dyDescent="0.2">
      <c r="A379" s="278"/>
      <c r="B379" s="278"/>
      <c r="C379" s="278"/>
      <c r="D379" s="261" t="s">
        <v>86</v>
      </c>
      <c r="E379" s="264">
        <v>62</v>
      </c>
      <c r="F379" s="264">
        <v>19248</v>
      </c>
      <c r="G379" s="264">
        <v>1193356</v>
      </c>
      <c r="H379" s="264">
        <v>1242</v>
      </c>
      <c r="I379" s="264">
        <v>76992</v>
      </c>
      <c r="J379" s="264">
        <v>1116364</v>
      </c>
    </row>
    <row r="380" spans="1:10" ht="14.1" customHeight="1" x14ac:dyDescent="0.2">
      <c r="A380" s="278"/>
      <c r="B380" s="278"/>
      <c r="C380" s="278"/>
      <c r="D380" s="261" t="s">
        <v>87</v>
      </c>
      <c r="E380" s="264">
        <v>5</v>
      </c>
      <c r="F380" s="264">
        <v>12197</v>
      </c>
      <c r="G380" s="264">
        <v>60987</v>
      </c>
      <c r="H380" s="264">
        <v>1242</v>
      </c>
      <c r="I380" s="264">
        <v>6209</v>
      </c>
      <c r="J380" s="264">
        <v>54777</v>
      </c>
    </row>
    <row r="381" spans="1:10" ht="14.1" customHeight="1" x14ac:dyDescent="0.2">
      <c r="A381" s="278"/>
      <c r="B381" s="278"/>
      <c r="C381" s="278"/>
      <c r="D381" s="261" t="s">
        <v>84</v>
      </c>
      <c r="E381" s="264">
        <v>20</v>
      </c>
      <c r="F381" s="264">
        <v>8892</v>
      </c>
      <c r="G381" s="264">
        <v>177844</v>
      </c>
      <c r="H381" s="264">
        <v>1242</v>
      </c>
      <c r="I381" s="264">
        <v>24836</v>
      </c>
      <c r="J381" s="264">
        <v>153008</v>
      </c>
    </row>
    <row r="382" spans="1:10" ht="14.1" customHeight="1" x14ac:dyDescent="0.2">
      <c r="A382" s="278"/>
      <c r="B382" s="278"/>
      <c r="C382" s="278"/>
      <c r="D382" s="261" t="s">
        <v>85</v>
      </c>
      <c r="E382" s="264">
        <v>32</v>
      </c>
      <c r="F382" s="264">
        <v>6223</v>
      </c>
      <c r="G382" s="264">
        <v>199121</v>
      </c>
      <c r="H382" s="264">
        <v>1242</v>
      </c>
      <c r="I382" s="264">
        <v>39738</v>
      </c>
      <c r="J382" s="264">
        <v>159383</v>
      </c>
    </row>
    <row r="383" spans="1:10" ht="14.1" customHeight="1" x14ac:dyDescent="0.2">
      <c r="A383" s="278"/>
      <c r="B383" s="278"/>
      <c r="C383" s="278"/>
      <c r="D383" s="261" t="s">
        <v>88</v>
      </c>
      <c r="E383" s="264">
        <v>8</v>
      </c>
      <c r="F383" s="264">
        <v>2601</v>
      </c>
      <c r="G383" s="264">
        <v>20809</v>
      </c>
      <c r="H383" s="264">
        <v>1242</v>
      </c>
      <c r="I383" s="264">
        <v>9934</v>
      </c>
      <c r="J383" s="264">
        <v>10875</v>
      </c>
    </row>
    <row r="384" spans="1:10" ht="14.1" customHeight="1" x14ac:dyDescent="0.2">
      <c r="A384" s="278"/>
      <c r="B384" s="278"/>
      <c r="C384" s="278"/>
      <c r="D384" s="261" t="s">
        <v>78</v>
      </c>
      <c r="E384" s="264">
        <v>22</v>
      </c>
      <c r="F384" s="264">
        <v>37545</v>
      </c>
      <c r="G384" s="264">
        <v>825990</v>
      </c>
      <c r="H384" s="264">
        <v>1242</v>
      </c>
      <c r="I384" s="264">
        <v>27320</v>
      </c>
      <c r="J384" s="264">
        <v>798671</v>
      </c>
    </row>
    <row r="385" spans="1:10" ht="14.1" customHeight="1" x14ac:dyDescent="0.2">
      <c r="A385" s="278"/>
      <c r="B385" s="278"/>
      <c r="C385" s="278"/>
      <c r="D385" s="261" t="s">
        <v>153</v>
      </c>
      <c r="E385" s="264">
        <v>31</v>
      </c>
      <c r="F385" s="264">
        <v>5473</v>
      </c>
      <c r="G385" s="264">
        <v>169659</v>
      </c>
      <c r="H385" s="264">
        <v>1242</v>
      </c>
      <c r="I385" s="264">
        <v>38496</v>
      </c>
      <c r="J385" s="264">
        <v>131163</v>
      </c>
    </row>
    <row r="386" spans="1:10" ht="14.1" customHeight="1" x14ac:dyDescent="0.2">
      <c r="A386" s="278"/>
      <c r="B386" s="278"/>
      <c r="C386" s="278"/>
      <c r="D386" s="261" t="s">
        <v>154</v>
      </c>
      <c r="E386" s="264">
        <v>72</v>
      </c>
      <c r="F386" s="264">
        <v>6900</v>
      </c>
      <c r="G386" s="264">
        <v>496806</v>
      </c>
      <c r="H386" s="264">
        <v>1242</v>
      </c>
      <c r="I386" s="264">
        <v>89410</v>
      </c>
      <c r="J386" s="264">
        <v>407396</v>
      </c>
    </row>
    <row r="387" spans="1:10" ht="42.95" customHeight="1" x14ac:dyDescent="0.2">
      <c r="A387" s="278"/>
      <c r="B387" s="278"/>
      <c r="C387" s="277" t="s">
        <v>245</v>
      </c>
      <c r="D387" s="261" t="s">
        <v>83</v>
      </c>
      <c r="E387" s="264">
        <v>1769</v>
      </c>
      <c r="F387" s="264">
        <v>2773</v>
      </c>
      <c r="G387" s="264">
        <v>4904800</v>
      </c>
      <c r="H387" s="264">
        <v>790</v>
      </c>
      <c r="I387" s="264">
        <v>1397476</v>
      </c>
      <c r="J387" s="264">
        <v>3507324</v>
      </c>
    </row>
    <row r="388" spans="1:10" ht="14.1" customHeight="1" x14ac:dyDescent="0.2">
      <c r="A388" s="278"/>
      <c r="B388" s="278"/>
      <c r="C388" s="278"/>
      <c r="D388" s="261" t="s">
        <v>102</v>
      </c>
      <c r="E388" s="264">
        <v>27</v>
      </c>
      <c r="F388" s="264">
        <v>97664</v>
      </c>
      <c r="G388" s="264">
        <v>2636922</v>
      </c>
      <c r="H388" s="264">
        <v>790</v>
      </c>
      <c r="I388" s="264">
        <v>21329</v>
      </c>
      <c r="J388" s="264">
        <v>2615592</v>
      </c>
    </row>
    <row r="389" spans="1:10" ht="14.1" customHeight="1" x14ac:dyDescent="0.2">
      <c r="A389" s="278"/>
      <c r="B389" s="278"/>
      <c r="C389" s="278"/>
      <c r="D389" s="261" t="s">
        <v>92</v>
      </c>
      <c r="E389" s="264">
        <v>865</v>
      </c>
      <c r="F389" s="264">
        <v>31120</v>
      </c>
      <c r="G389" s="264">
        <v>26919167</v>
      </c>
      <c r="H389" s="264">
        <v>790</v>
      </c>
      <c r="I389" s="264">
        <v>683333</v>
      </c>
      <c r="J389" s="264">
        <v>26235833</v>
      </c>
    </row>
    <row r="390" spans="1:10" ht="14.1" customHeight="1" x14ac:dyDescent="0.2">
      <c r="A390" s="278"/>
      <c r="B390" s="278"/>
      <c r="C390" s="278"/>
      <c r="D390" s="261" t="s">
        <v>86</v>
      </c>
      <c r="E390" s="264">
        <v>2498</v>
      </c>
      <c r="F390" s="264">
        <v>18898</v>
      </c>
      <c r="G390" s="264">
        <v>47206906</v>
      </c>
      <c r="H390" s="264">
        <v>790</v>
      </c>
      <c r="I390" s="264">
        <v>1973372</v>
      </c>
      <c r="J390" s="264">
        <v>45233534</v>
      </c>
    </row>
    <row r="391" spans="1:10" ht="14.1" customHeight="1" x14ac:dyDescent="0.2">
      <c r="A391" s="278"/>
      <c r="B391" s="278"/>
      <c r="C391" s="278"/>
      <c r="D391" s="261" t="s">
        <v>87</v>
      </c>
      <c r="E391" s="264">
        <v>70</v>
      </c>
      <c r="F391" s="264">
        <v>12107</v>
      </c>
      <c r="G391" s="264">
        <v>847486</v>
      </c>
      <c r="H391" s="264">
        <v>790</v>
      </c>
      <c r="I391" s="264">
        <v>55299</v>
      </c>
      <c r="J391" s="264">
        <v>792187</v>
      </c>
    </row>
    <row r="392" spans="1:10" ht="14.1" customHeight="1" x14ac:dyDescent="0.2">
      <c r="A392" s="278"/>
      <c r="B392" s="278"/>
      <c r="C392" s="278"/>
      <c r="D392" s="261" t="s">
        <v>84</v>
      </c>
      <c r="E392" s="264">
        <v>1079</v>
      </c>
      <c r="F392" s="264">
        <v>8486</v>
      </c>
      <c r="G392" s="264">
        <v>9155908</v>
      </c>
      <c r="H392" s="264">
        <v>790</v>
      </c>
      <c r="I392" s="264">
        <v>852389</v>
      </c>
      <c r="J392" s="264">
        <v>8303518</v>
      </c>
    </row>
    <row r="393" spans="1:10" ht="14.1" customHeight="1" x14ac:dyDescent="0.2">
      <c r="A393" s="278"/>
      <c r="B393" s="278"/>
      <c r="C393" s="278"/>
      <c r="D393" s="261" t="s">
        <v>85</v>
      </c>
      <c r="E393" s="264">
        <v>111</v>
      </c>
      <c r="F393" s="264">
        <v>5771</v>
      </c>
      <c r="G393" s="264">
        <v>640549</v>
      </c>
      <c r="H393" s="264">
        <v>790</v>
      </c>
      <c r="I393" s="264">
        <v>87688</v>
      </c>
      <c r="J393" s="264">
        <v>552861</v>
      </c>
    </row>
    <row r="394" spans="1:10" ht="14.1" customHeight="1" x14ac:dyDescent="0.2">
      <c r="A394" s="278"/>
      <c r="B394" s="278"/>
      <c r="C394" s="278"/>
      <c r="D394" s="261" t="s">
        <v>96</v>
      </c>
      <c r="E394" s="264">
        <v>59</v>
      </c>
      <c r="F394" s="264">
        <v>3507</v>
      </c>
      <c r="G394" s="264">
        <v>206898</v>
      </c>
      <c r="H394" s="264">
        <v>790</v>
      </c>
      <c r="I394" s="264">
        <v>46609</v>
      </c>
      <c r="J394" s="264">
        <v>160289</v>
      </c>
    </row>
    <row r="395" spans="1:10" ht="14.1" customHeight="1" x14ac:dyDescent="0.2">
      <c r="A395" s="278"/>
      <c r="B395" s="278"/>
      <c r="C395" s="278"/>
      <c r="D395" s="261" t="s">
        <v>88</v>
      </c>
      <c r="E395" s="264">
        <v>25</v>
      </c>
      <c r="F395" s="264">
        <v>2149</v>
      </c>
      <c r="G395" s="264">
        <v>53733</v>
      </c>
      <c r="H395" s="264">
        <v>790</v>
      </c>
      <c r="I395" s="264">
        <v>19750</v>
      </c>
      <c r="J395" s="264">
        <v>33984</v>
      </c>
    </row>
    <row r="396" spans="1:10" ht="14.1" customHeight="1" x14ac:dyDescent="0.2">
      <c r="A396" s="278"/>
      <c r="B396" s="278"/>
      <c r="C396" s="278"/>
      <c r="D396" s="261" t="s">
        <v>78</v>
      </c>
      <c r="E396" s="264">
        <v>4566</v>
      </c>
      <c r="F396" s="264">
        <v>37175</v>
      </c>
      <c r="G396" s="264">
        <v>169742590</v>
      </c>
      <c r="H396" s="264">
        <v>790</v>
      </c>
      <c r="I396" s="264">
        <v>3607052</v>
      </c>
      <c r="J396" s="264">
        <v>166135538</v>
      </c>
    </row>
    <row r="397" spans="1:10" ht="14.1" customHeight="1" x14ac:dyDescent="0.2">
      <c r="A397" s="278"/>
      <c r="B397" s="278"/>
      <c r="C397" s="278"/>
      <c r="D397" s="261" t="s">
        <v>152</v>
      </c>
      <c r="E397" s="264">
        <v>140</v>
      </c>
      <c r="F397" s="264">
        <v>28002</v>
      </c>
      <c r="G397" s="264">
        <v>3920270</v>
      </c>
      <c r="H397" s="264">
        <v>790</v>
      </c>
      <c r="I397" s="264">
        <v>110597</v>
      </c>
      <c r="J397" s="264">
        <v>3809672</v>
      </c>
    </row>
    <row r="398" spans="1:10" ht="14.1" customHeight="1" x14ac:dyDescent="0.2">
      <c r="A398" s="278"/>
      <c r="B398" s="278"/>
      <c r="C398" s="278"/>
      <c r="D398" s="261" t="s">
        <v>153</v>
      </c>
      <c r="E398" s="264">
        <v>781</v>
      </c>
      <c r="F398" s="264">
        <v>5158</v>
      </c>
      <c r="G398" s="264">
        <v>4028635</v>
      </c>
      <c r="H398" s="264">
        <v>790</v>
      </c>
      <c r="I398" s="264">
        <v>616975</v>
      </c>
      <c r="J398" s="264">
        <v>3411660</v>
      </c>
    </row>
    <row r="399" spans="1:10" ht="14.1" customHeight="1" x14ac:dyDescent="0.2">
      <c r="A399" s="278"/>
      <c r="B399" s="278"/>
      <c r="C399" s="278"/>
      <c r="D399" s="261" t="s">
        <v>154</v>
      </c>
      <c r="E399" s="264">
        <v>3967</v>
      </c>
      <c r="F399" s="264">
        <v>6542</v>
      </c>
      <c r="G399" s="264">
        <v>25953658</v>
      </c>
      <c r="H399" s="264">
        <v>790</v>
      </c>
      <c r="I399" s="264">
        <v>3133854</v>
      </c>
      <c r="J399" s="264">
        <v>22819804</v>
      </c>
    </row>
    <row r="400" spans="1:10" ht="29.1" customHeight="1" x14ac:dyDescent="0.2">
      <c r="A400" s="278"/>
      <c r="B400" s="277" t="s">
        <v>247</v>
      </c>
      <c r="C400" s="280" t="s">
        <v>75</v>
      </c>
      <c r="D400" s="261" t="s">
        <v>91</v>
      </c>
      <c r="E400" s="264">
        <v>2</v>
      </c>
      <c r="F400" s="264">
        <v>18108</v>
      </c>
      <c r="G400" s="264">
        <v>36216</v>
      </c>
      <c r="H400" s="264">
        <v>1188</v>
      </c>
      <c r="I400" s="264">
        <v>2376</v>
      </c>
      <c r="J400" s="264">
        <v>33840</v>
      </c>
    </row>
    <row r="401" spans="1:10" ht="14.1" customHeight="1" x14ac:dyDescent="0.2">
      <c r="A401" s="278"/>
      <c r="B401" s="278"/>
      <c r="C401" s="278"/>
      <c r="D401" s="261" t="s">
        <v>97</v>
      </c>
      <c r="E401" s="264">
        <v>6</v>
      </c>
      <c r="F401" s="264">
        <v>11317</v>
      </c>
      <c r="G401" s="264">
        <v>67902</v>
      </c>
      <c r="H401" s="264">
        <v>1188</v>
      </c>
      <c r="I401" s="264">
        <v>7127</v>
      </c>
      <c r="J401" s="264">
        <v>60775</v>
      </c>
    </row>
    <row r="402" spans="1:10" ht="14.1" customHeight="1" x14ac:dyDescent="0.2">
      <c r="A402" s="278"/>
      <c r="B402" s="278"/>
      <c r="C402" s="278"/>
      <c r="D402" s="261" t="s">
        <v>90</v>
      </c>
      <c r="E402" s="264">
        <v>170</v>
      </c>
      <c r="F402" s="264">
        <v>7696</v>
      </c>
      <c r="G402" s="264">
        <v>1308247</v>
      </c>
      <c r="H402" s="264">
        <v>1188</v>
      </c>
      <c r="I402" s="264">
        <v>201936</v>
      </c>
      <c r="J402" s="264">
        <v>1106310</v>
      </c>
    </row>
    <row r="403" spans="1:10" ht="14.1" customHeight="1" x14ac:dyDescent="0.2">
      <c r="A403" s="278"/>
      <c r="B403" s="278"/>
      <c r="C403" s="278"/>
      <c r="D403" s="261" t="s">
        <v>100</v>
      </c>
      <c r="E403" s="264">
        <v>5</v>
      </c>
      <c r="F403" s="264">
        <v>4981</v>
      </c>
      <c r="G403" s="264">
        <v>24904</v>
      </c>
      <c r="H403" s="264">
        <v>1188</v>
      </c>
      <c r="I403" s="264">
        <v>5939</v>
      </c>
      <c r="J403" s="264">
        <v>18964</v>
      </c>
    </row>
    <row r="404" spans="1:10" ht="14.1" customHeight="1" x14ac:dyDescent="0.2">
      <c r="A404" s="278"/>
      <c r="B404" s="278"/>
      <c r="C404" s="278"/>
      <c r="D404" s="261" t="s">
        <v>98</v>
      </c>
      <c r="E404" s="264">
        <v>2</v>
      </c>
      <c r="F404" s="264">
        <v>2717</v>
      </c>
      <c r="G404" s="264">
        <v>5434</v>
      </c>
      <c r="H404" s="264">
        <v>1188</v>
      </c>
      <c r="I404" s="264">
        <v>2376</v>
      </c>
      <c r="J404" s="264">
        <v>3058</v>
      </c>
    </row>
    <row r="405" spans="1:10" ht="14.1" customHeight="1" x14ac:dyDescent="0.2">
      <c r="A405" s="278"/>
      <c r="B405" s="278"/>
      <c r="C405" s="278"/>
      <c r="D405" s="261" t="s">
        <v>103</v>
      </c>
      <c r="E405" s="264">
        <v>1</v>
      </c>
      <c r="F405" s="264">
        <v>1359</v>
      </c>
      <c r="G405" s="264">
        <v>1359</v>
      </c>
      <c r="H405" s="264">
        <v>1188</v>
      </c>
      <c r="I405" s="264">
        <v>1188</v>
      </c>
      <c r="J405" s="264">
        <v>171</v>
      </c>
    </row>
    <row r="406" spans="1:10" ht="42.95" customHeight="1" x14ac:dyDescent="0.2">
      <c r="A406" s="278"/>
      <c r="B406" s="278"/>
      <c r="C406" s="277" t="s">
        <v>243</v>
      </c>
      <c r="D406" s="261" t="s">
        <v>86</v>
      </c>
      <c r="E406" s="264">
        <v>1</v>
      </c>
      <c r="F406" s="264">
        <v>19577</v>
      </c>
      <c r="G406" s="264">
        <v>19577</v>
      </c>
      <c r="H406" s="264">
        <v>2657</v>
      </c>
      <c r="I406" s="264">
        <v>2657</v>
      </c>
      <c r="J406" s="264">
        <v>16920</v>
      </c>
    </row>
    <row r="407" spans="1:10" ht="14.1" customHeight="1" x14ac:dyDescent="0.2">
      <c r="A407" s="278"/>
      <c r="B407" s="278"/>
      <c r="C407" s="278"/>
      <c r="D407" s="261" t="s">
        <v>84</v>
      </c>
      <c r="E407" s="264">
        <v>2</v>
      </c>
      <c r="F407" s="264">
        <v>9165</v>
      </c>
      <c r="G407" s="264">
        <v>18329</v>
      </c>
      <c r="H407" s="264">
        <v>2657</v>
      </c>
      <c r="I407" s="264">
        <v>5314</v>
      </c>
      <c r="J407" s="264">
        <v>13015</v>
      </c>
    </row>
    <row r="408" spans="1:10" ht="42.95" customHeight="1" x14ac:dyDescent="0.2">
      <c r="A408" s="278"/>
      <c r="B408" s="278"/>
      <c r="C408" s="277" t="s">
        <v>244</v>
      </c>
      <c r="D408" s="261" t="s">
        <v>92</v>
      </c>
      <c r="E408" s="264">
        <v>13</v>
      </c>
      <c r="F408" s="264">
        <v>31572</v>
      </c>
      <c r="G408" s="264">
        <v>410439</v>
      </c>
      <c r="H408" s="264">
        <v>2430</v>
      </c>
      <c r="I408" s="264">
        <v>31586</v>
      </c>
      <c r="J408" s="264">
        <v>378854</v>
      </c>
    </row>
    <row r="409" spans="1:10" ht="14.1" customHeight="1" x14ac:dyDescent="0.2">
      <c r="A409" s="278"/>
      <c r="B409" s="278"/>
      <c r="C409" s="278"/>
      <c r="D409" s="261" t="s">
        <v>86</v>
      </c>
      <c r="E409" s="264">
        <v>81</v>
      </c>
      <c r="F409" s="264">
        <v>19339</v>
      </c>
      <c r="G409" s="264">
        <v>1566423</v>
      </c>
      <c r="H409" s="264">
        <v>2430</v>
      </c>
      <c r="I409" s="264">
        <v>196803</v>
      </c>
      <c r="J409" s="264">
        <v>1369619</v>
      </c>
    </row>
    <row r="410" spans="1:10" ht="14.1" customHeight="1" x14ac:dyDescent="0.2">
      <c r="A410" s="278"/>
      <c r="B410" s="278"/>
      <c r="C410" s="278"/>
      <c r="D410" s="261" t="s">
        <v>87</v>
      </c>
      <c r="E410" s="264">
        <v>35</v>
      </c>
      <c r="F410" s="264">
        <v>12559</v>
      </c>
      <c r="G410" s="264">
        <v>439557</v>
      </c>
      <c r="H410" s="264">
        <v>2430</v>
      </c>
      <c r="I410" s="264">
        <v>85039</v>
      </c>
      <c r="J410" s="264">
        <v>354518</v>
      </c>
    </row>
    <row r="411" spans="1:10" ht="14.1" customHeight="1" x14ac:dyDescent="0.2">
      <c r="A411" s="278"/>
      <c r="B411" s="278"/>
      <c r="C411" s="278"/>
      <c r="D411" s="261" t="s">
        <v>84</v>
      </c>
      <c r="E411" s="264">
        <v>53</v>
      </c>
      <c r="F411" s="264">
        <v>8929</v>
      </c>
      <c r="G411" s="264">
        <v>473229</v>
      </c>
      <c r="H411" s="264">
        <v>2430</v>
      </c>
      <c r="I411" s="264">
        <v>128773</v>
      </c>
      <c r="J411" s="264">
        <v>344457</v>
      </c>
    </row>
    <row r="412" spans="1:10" ht="14.1" customHeight="1" x14ac:dyDescent="0.2">
      <c r="A412" s="278"/>
      <c r="B412" s="278"/>
      <c r="C412" s="278"/>
      <c r="D412" s="261" t="s">
        <v>85</v>
      </c>
      <c r="E412" s="264">
        <v>3</v>
      </c>
      <c r="F412" s="264">
        <v>6223</v>
      </c>
      <c r="G412" s="264">
        <v>18668</v>
      </c>
      <c r="H412" s="264">
        <v>2430</v>
      </c>
      <c r="I412" s="264">
        <v>7289</v>
      </c>
      <c r="J412" s="264">
        <v>11379</v>
      </c>
    </row>
    <row r="413" spans="1:10" ht="42.95" customHeight="1" x14ac:dyDescent="0.2">
      <c r="A413" s="278"/>
      <c r="B413" s="278"/>
      <c r="C413" s="277" t="s">
        <v>245</v>
      </c>
      <c r="D413" s="261" t="s">
        <v>102</v>
      </c>
      <c r="E413" s="264">
        <v>11</v>
      </c>
      <c r="F413" s="264">
        <v>97664</v>
      </c>
      <c r="G413" s="264">
        <v>1074302</v>
      </c>
      <c r="H413" s="264">
        <v>1978</v>
      </c>
      <c r="I413" s="264">
        <v>21756</v>
      </c>
      <c r="J413" s="264">
        <v>1052545</v>
      </c>
    </row>
    <row r="414" spans="1:10" ht="14.1" customHeight="1" x14ac:dyDescent="0.2">
      <c r="A414" s="278"/>
      <c r="B414" s="278"/>
      <c r="C414" s="278"/>
      <c r="D414" s="261" t="s">
        <v>118</v>
      </c>
      <c r="E414" s="264">
        <v>1</v>
      </c>
      <c r="F414" s="264">
        <v>51490</v>
      </c>
      <c r="G414" s="264">
        <v>51490</v>
      </c>
      <c r="H414" s="264">
        <v>1978</v>
      </c>
      <c r="I414" s="264">
        <v>1978</v>
      </c>
      <c r="J414" s="264">
        <v>49513</v>
      </c>
    </row>
    <row r="415" spans="1:10" ht="14.1" customHeight="1" x14ac:dyDescent="0.2">
      <c r="A415" s="278"/>
      <c r="B415" s="278"/>
      <c r="C415" s="278"/>
      <c r="D415" s="261" t="s">
        <v>92</v>
      </c>
      <c r="E415" s="264">
        <v>676</v>
      </c>
      <c r="F415" s="264">
        <v>31120</v>
      </c>
      <c r="G415" s="264">
        <v>21037407</v>
      </c>
      <c r="H415" s="264">
        <v>1978</v>
      </c>
      <c r="I415" s="264">
        <v>1337021</v>
      </c>
      <c r="J415" s="264">
        <v>19700385</v>
      </c>
    </row>
    <row r="416" spans="1:10" ht="14.1" customHeight="1" x14ac:dyDescent="0.2">
      <c r="A416" s="278"/>
      <c r="B416" s="278"/>
      <c r="C416" s="278"/>
      <c r="D416" s="261" t="s">
        <v>86</v>
      </c>
      <c r="E416" s="264">
        <v>4238</v>
      </c>
      <c r="F416" s="264">
        <v>18898</v>
      </c>
      <c r="G416" s="264">
        <v>80089218</v>
      </c>
      <c r="H416" s="264">
        <v>1978</v>
      </c>
      <c r="I416" s="264">
        <v>8382094</v>
      </c>
      <c r="J416" s="264">
        <v>71707123</v>
      </c>
    </row>
    <row r="417" spans="1:10" ht="14.1" customHeight="1" x14ac:dyDescent="0.2">
      <c r="A417" s="278"/>
      <c r="B417" s="278"/>
      <c r="C417" s="278"/>
      <c r="D417" s="261" t="s">
        <v>87</v>
      </c>
      <c r="E417" s="264">
        <v>6878</v>
      </c>
      <c r="F417" s="264">
        <v>12107</v>
      </c>
      <c r="G417" s="264">
        <v>83271509</v>
      </c>
      <c r="H417" s="264">
        <v>1978</v>
      </c>
      <c r="I417" s="264">
        <v>13603597</v>
      </c>
      <c r="J417" s="264">
        <v>69667911</v>
      </c>
    </row>
    <row r="418" spans="1:10" ht="14.1" customHeight="1" x14ac:dyDescent="0.2">
      <c r="A418" s="278"/>
      <c r="B418" s="278"/>
      <c r="C418" s="278"/>
      <c r="D418" s="261" t="s">
        <v>84</v>
      </c>
      <c r="E418" s="264">
        <v>4659</v>
      </c>
      <c r="F418" s="264">
        <v>8486</v>
      </c>
      <c r="G418" s="264">
        <v>39534173</v>
      </c>
      <c r="H418" s="264">
        <v>1978</v>
      </c>
      <c r="I418" s="264">
        <v>9214766</v>
      </c>
      <c r="J418" s="264">
        <v>30319408</v>
      </c>
    </row>
    <row r="419" spans="1:10" ht="14.1" customHeight="1" x14ac:dyDescent="0.2">
      <c r="A419" s="278"/>
      <c r="B419" s="278"/>
      <c r="C419" s="278"/>
      <c r="D419" s="261" t="s">
        <v>85</v>
      </c>
      <c r="E419" s="264">
        <v>743</v>
      </c>
      <c r="F419" s="264">
        <v>5771</v>
      </c>
      <c r="G419" s="264">
        <v>4287640</v>
      </c>
      <c r="H419" s="264">
        <v>1978</v>
      </c>
      <c r="I419" s="264">
        <v>1469537</v>
      </c>
      <c r="J419" s="264">
        <v>2818103</v>
      </c>
    </row>
    <row r="420" spans="1:10" ht="14.1" customHeight="1" x14ac:dyDescent="0.2">
      <c r="A420" s="278"/>
      <c r="B420" s="278"/>
      <c r="C420" s="278"/>
      <c r="D420" s="261" t="s">
        <v>96</v>
      </c>
      <c r="E420" s="264">
        <v>353</v>
      </c>
      <c r="F420" s="264">
        <v>3507</v>
      </c>
      <c r="G420" s="264">
        <v>1237881</v>
      </c>
      <c r="H420" s="264">
        <v>1978</v>
      </c>
      <c r="I420" s="264">
        <v>698178</v>
      </c>
      <c r="J420" s="264">
        <v>539702</v>
      </c>
    </row>
    <row r="421" spans="1:10" ht="14.1" customHeight="1" x14ac:dyDescent="0.2">
      <c r="A421" s="278"/>
      <c r="B421" s="278"/>
      <c r="C421" s="278"/>
      <c r="D421" s="261" t="s">
        <v>88</v>
      </c>
      <c r="E421" s="264">
        <v>770</v>
      </c>
      <c r="F421" s="264">
        <v>2149</v>
      </c>
      <c r="G421" s="264">
        <v>1654981</v>
      </c>
      <c r="H421" s="264">
        <v>1978</v>
      </c>
      <c r="I421" s="264">
        <v>1522938</v>
      </c>
      <c r="J421" s="264">
        <v>132042</v>
      </c>
    </row>
    <row r="422" spans="1:10" ht="14.1" customHeight="1" x14ac:dyDescent="0.2">
      <c r="A422" s="278" t="s">
        <v>40</v>
      </c>
      <c r="B422" s="278" t="s">
        <v>60</v>
      </c>
      <c r="C422" s="278"/>
      <c r="D422" s="278"/>
      <c r="E422" s="264">
        <v>8933</v>
      </c>
      <c r="F422" s="264"/>
      <c r="G422" s="264">
        <v>130532848</v>
      </c>
      <c r="H422" s="264">
        <v>52642</v>
      </c>
      <c r="I422" s="264"/>
      <c r="J422" s="264">
        <v>116887702</v>
      </c>
    </row>
    <row r="423" spans="1:10" ht="14.1" customHeight="1" x14ac:dyDescent="0.2">
      <c r="A423" s="278"/>
      <c r="B423" s="261" t="s">
        <v>71</v>
      </c>
      <c r="C423" s="261" t="s">
        <v>72</v>
      </c>
      <c r="D423" s="261" t="s">
        <v>73</v>
      </c>
      <c r="E423" s="281">
        <v>36</v>
      </c>
      <c r="F423" s="281">
        <v>11382</v>
      </c>
      <c r="G423" s="281">
        <v>409769</v>
      </c>
      <c r="H423" s="281">
        <v>0</v>
      </c>
      <c r="I423" s="281">
        <v>0</v>
      </c>
      <c r="J423" s="281">
        <v>409769</v>
      </c>
    </row>
    <row r="424" spans="1:10" ht="14.1" customHeight="1" x14ac:dyDescent="0.2">
      <c r="A424" s="278"/>
      <c r="B424" s="279" t="s">
        <v>74</v>
      </c>
      <c r="C424" s="262" t="s">
        <v>75</v>
      </c>
      <c r="D424" s="261" t="s">
        <v>77</v>
      </c>
      <c r="E424" s="282"/>
      <c r="F424" s="282"/>
      <c r="G424" s="282"/>
      <c r="H424" s="282"/>
      <c r="I424" s="282"/>
      <c r="J424" s="282"/>
    </row>
    <row r="425" spans="1:10" ht="42.95" customHeight="1" x14ac:dyDescent="0.2">
      <c r="A425" s="278"/>
      <c r="B425" s="278"/>
      <c r="C425" s="263" t="s">
        <v>245</v>
      </c>
      <c r="D425" s="261" t="s">
        <v>79</v>
      </c>
      <c r="E425" s="264">
        <v>687</v>
      </c>
      <c r="F425" s="264">
        <v>12172</v>
      </c>
      <c r="G425" s="264">
        <v>8362471</v>
      </c>
      <c r="H425" s="264">
        <v>1978</v>
      </c>
      <c r="I425" s="264">
        <v>1358777</v>
      </c>
      <c r="J425" s="264">
        <v>7003694</v>
      </c>
    </row>
    <row r="426" spans="1:10" ht="42.95" customHeight="1" x14ac:dyDescent="0.2">
      <c r="A426" s="278"/>
      <c r="B426" s="279" t="s">
        <v>89</v>
      </c>
      <c r="C426" s="277" t="s">
        <v>243</v>
      </c>
      <c r="D426" s="261" t="s">
        <v>84</v>
      </c>
      <c r="E426" s="264">
        <v>8</v>
      </c>
      <c r="F426" s="264">
        <v>9165</v>
      </c>
      <c r="G426" s="264">
        <v>73318</v>
      </c>
      <c r="H426" s="264">
        <v>2296</v>
      </c>
      <c r="I426" s="264">
        <v>18370</v>
      </c>
      <c r="J426" s="264">
        <v>54948</v>
      </c>
    </row>
    <row r="427" spans="1:10" ht="14.1" customHeight="1" x14ac:dyDescent="0.2">
      <c r="A427" s="278"/>
      <c r="B427" s="278"/>
      <c r="C427" s="278"/>
      <c r="D427" s="261" t="s">
        <v>105</v>
      </c>
      <c r="E427" s="264">
        <v>56</v>
      </c>
      <c r="F427" s="264">
        <v>9435</v>
      </c>
      <c r="G427" s="264">
        <v>528385</v>
      </c>
      <c r="H427" s="264">
        <v>2567</v>
      </c>
      <c r="I427" s="264">
        <v>143748</v>
      </c>
      <c r="J427" s="264">
        <v>384638</v>
      </c>
    </row>
    <row r="428" spans="1:10" ht="42.95" customHeight="1" x14ac:dyDescent="0.2">
      <c r="A428" s="278"/>
      <c r="B428" s="278"/>
      <c r="C428" s="277" t="s">
        <v>245</v>
      </c>
      <c r="D428" s="261" t="s">
        <v>84</v>
      </c>
      <c r="E428" s="264">
        <v>1444</v>
      </c>
      <c r="F428" s="264">
        <v>8486</v>
      </c>
      <c r="G428" s="264">
        <v>12253133</v>
      </c>
      <c r="H428" s="264">
        <v>1617</v>
      </c>
      <c r="I428" s="264">
        <v>2334973</v>
      </c>
      <c r="J428" s="264">
        <v>9918160</v>
      </c>
    </row>
    <row r="429" spans="1:10" ht="14.1" customHeight="1" x14ac:dyDescent="0.2">
      <c r="A429" s="278"/>
      <c r="B429" s="278"/>
      <c r="C429" s="278"/>
      <c r="D429" s="261" t="s">
        <v>90</v>
      </c>
      <c r="E429" s="264">
        <v>8</v>
      </c>
      <c r="F429" s="264">
        <v>7696</v>
      </c>
      <c r="G429" s="264">
        <v>61565</v>
      </c>
      <c r="H429" s="264">
        <v>827</v>
      </c>
      <c r="I429" s="264">
        <v>6616</v>
      </c>
      <c r="J429" s="264">
        <v>54948</v>
      </c>
    </row>
    <row r="430" spans="1:10" ht="14.1" customHeight="1" x14ac:dyDescent="0.2">
      <c r="A430" s="278"/>
      <c r="B430" s="278"/>
      <c r="C430" s="278"/>
      <c r="D430" s="261" t="s">
        <v>105</v>
      </c>
      <c r="E430" s="264">
        <v>225</v>
      </c>
      <c r="F430" s="264">
        <v>8756</v>
      </c>
      <c r="G430" s="264">
        <v>1970159</v>
      </c>
      <c r="H430" s="264">
        <v>1888</v>
      </c>
      <c r="I430" s="264">
        <v>424739</v>
      </c>
      <c r="J430" s="264">
        <v>1545420</v>
      </c>
    </row>
    <row r="431" spans="1:10" ht="42.95" customHeight="1" x14ac:dyDescent="0.2">
      <c r="A431" s="278"/>
      <c r="B431" s="277" t="s">
        <v>246</v>
      </c>
      <c r="C431" s="280" t="s">
        <v>75</v>
      </c>
      <c r="D431" s="261" t="s">
        <v>91</v>
      </c>
      <c r="E431" s="264">
        <v>3</v>
      </c>
      <c r="F431" s="264">
        <v>18108</v>
      </c>
      <c r="G431" s="264">
        <v>54324</v>
      </c>
      <c r="H431" s="264">
        <v>0</v>
      </c>
      <c r="I431" s="264">
        <v>0</v>
      </c>
      <c r="J431" s="264">
        <v>54324</v>
      </c>
    </row>
    <row r="432" spans="1:10" ht="14.1" customHeight="1" x14ac:dyDescent="0.2">
      <c r="A432" s="278"/>
      <c r="B432" s="278"/>
      <c r="C432" s="278"/>
      <c r="D432" s="261" t="s">
        <v>90</v>
      </c>
      <c r="E432" s="264">
        <v>3</v>
      </c>
      <c r="F432" s="264">
        <v>7696</v>
      </c>
      <c r="G432" s="264">
        <v>23087</v>
      </c>
      <c r="H432" s="264">
        <v>0</v>
      </c>
      <c r="I432" s="264">
        <v>0</v>
      </c>
      <c r="J432" s="264">
        <v>23087</v>
      </c>
    </row>
    <row r="433" spans="1:10" ht="14.1" customHeight="1" x14ac:dyDescent="0.2">
      <c r="A433" s="278"/>
      <c r="B433" s="278"/>
      <c r="C433" s="278"/>
      <c r="D433" s="261" t="s">
        <v>103</v>
      </c>
      <c r="E433" s="264">
        <v>3</v>
      </c>
      <c r="F433" s="264">
        <v>1359</v>
      </c>
      <c r="G433" s="264">
        <v>4078</v>
      </c>
      <c r="H433" s="264">
        <v>0</v>
      </c>
      <c r="I433" s="264">
        <v>0</v>
      </c>
      <c r="J433" s="264">
        <v>4078</v>
      </c>
    </row>
    <row r="434" spans="1:10" ht="14.1" customHeight="1" x14ac:dyDescent="0.2">
      <c r="A434" s="278"/>
      <c r="B434" s="278"/>
      <c r="C434" s="278"/>
      <c r="D434" s="261" t="s">
        <v>76</v>
      </c>
      <c r="E434" s="264">
        <v>49</v>
      </c>
      <c r="F434" s="264">
        <v>36385</v>
      </c>
      <c r="G434" s="264">
        <v>1782882</v>
      </c>
      <c r="H434" s="264">
        <v>0</v>
      </c>
      <c r="I434" s="264">
        <v>0</v>
      </c>
      <c r="J434" s="264">
        <v>1782882</v>
      </c>
    </row>
    <row r="435" spans="1:10" ht="14.1" customHeight="1" x14ac:dyDescent="0.2">
      <c r="A435" s="278"/>
      <c r="B435" s="278"/>
      <c r="C435" s="278"/>
      <c r="D435" s="261" t="s">
        <v>155</v>
      </c>
      <c r="E435" s="264">
        <v>1</v>
      </c>
      <c r="F435" s="264">
        <v>4362</v>
      </c>
      <c r="G435" s="264">
        <v>4362</v>
      </c>
      <c r="H435" s="264">
        <v>0</v>
      </c>
      <c r="I435" s="264">
        <v>0</v>
      </c>
      <c r="J435" s="264">
        <v>4362</v>
      </c>
    </row>
    <row r="436" spans="1:10" ht="14.1" customHeight="1" x14ac:dyDescent="0.2">
      <c r="A436" s="278"/>
      <c r="B436" s="278"/>
      <c r="C436" s="278"/>
      <c r="D436" s="261" t="s">
        <v>151</v>
      </c>
      <c r="E436" s="264">
        <v>30</v>
      </c>
      <c r="F436" s="264">
        <v>5752</v>
      </c>
      <c r="G436" s="264">
        <v>172572</v>
      </c>
      <c r="H436" s="264">
        <v>0</v>
      </c>
      <c r="I436" s="264">
        <v>0</v>
      </c>
      <c r="J436" s="264">
        <v>172572</v>
      </c>
    </row>
    <row r="437" spans="1:10" ht="42.95" customHeight="1" x14ac:dyDescent="0.2">
      <c r="A437" s="278"/>
      <c r="B437" s="278"/>
      <c r="C437" s="277" t="s">
        <v>243</v>
      </c>
      <c r="D437" s="261" t="s">
        <v>83</v>
      </c>
      <c r="E437" s="264">
        <v>1</v>
      </c>
      <c r="F437" s="264">
        <v>3452</v>
      </c>
      <c r="G437" s="264">
        <v>3452</v>
      </c>
      <c r="H437" s="264">
        <v>1469</v>
      </c>
      <c r="I437" s="264">
        <v>1469</v>
      </c>
      <c r="J437" s="264">
        <v>1983</v>
      </c>
    </row>
    <row r="438" spans="1:10" ht="14.1" customHeight="1" x14ac:dyDescent="0.2">
      <c r="A438" s="278"/>
      <c r="B438" s="278"/>
      <c r="C438" s="278"/>
      <c r="D438" s="261" t="s">
        <v>86</v>
      </c>
      <c r="E438" s="264">
        <v>1</v>
      </c>
      <c r="F438" s="264">
        <v>19577</v>
      </c>
      <c r="G438" s="264">
        <v>19577</v>
      </c>
      <c r="H438" s="264">
        <v>1469</v>
      </c>
      <c r="I438" s="264">
        <v>1469</v>
      </c>
      <c r="J438" s="264">
        <v>18108</v>
      </c>
    </row>
    <row r="439" spans="1:10" ht="14.1" customHeight="1" x14ac:dyDescent="0.2">
      <c r="A439" s="278"/>
      <c r="B439" s="278"/>
      <c r="C439" s="278"/>
      <c r="D439" s="261" t="s">
        <v>84</v>
      </c>
      <c r="E439" s="264">
        <v>8</v>
      </c>
      <c r="F439" s="264">
        <v>9165</v>
      </c>
      <c r="G439" s="264">
        <v>73318</v>
      </c>
      <c r="H439" s="264">
        <v>1469</v>
      </c>
      <c r="I439" s="264">
        <v>11753</v>
      </c>
      <c r="J439" s="264">
        <v>61565</v>
      </c>
    </row>
    <row r="440" spans="1:10" ht="14.1" customHeight="1" x14ac:dyDescent="0.2">
      <c r="A440" s="278"/>
      <c r="B440" s="278"/>
      <c r="C440" s="278"/>
      <c r="D440" s="261" t="s">
        <v>88</v>
      </c>
      <c r="E440" s="264">
        <v>1</v>
      </c>
      <c r="F440" s="264">
        <v>2829</v>
      </c>
      <c r="G440" s="264">
        <v>2829</v>
      </c>
      <c r="H440" s="264">
        <v>1469</v>
      </c>
      <c r="I440" s="264">
        <v>1469</v>
      </c>
      <c r="J440" s="264">
        <v>1359</v>
      </c>
    </row>
    <row r="441" spans="1:10" ht="14.1" customHeight="1" x14ac:dyDescent="0.2">
      <c r="A441" s="278"/>
      <c r="B441" s="278"/>
      <c r="C441" s="278"/>
      <c r="D441" s="261" t="s">
        <v>78</v>
      </c>
      <c r="E441" s="264">
        <v>10</v>
      </c>
      <c r="F441" s="264">
        <v>37855</v>
      </c>
      <c r="G441" s="264">
        <v>378545</v>
      </c>
      <c r="H441" s="264">
        <v>1469</v>
      </c>
      <c r="I441" s="264">
        <v>14692</v>
      </c>
      <c r="J441" s="264">
        <v>363854</v>
      </c>
    </row>
    <row r="442" spans="1:10" ht="14.1" customHeight="1" x14ac:dyDescent="0.2">
      <c r="A442" s="278"/>
      <c r="B442" s="278"/>
      <c r="C442" s="278"/>
      <c r="D442" s="261" t="s">
        <v>153</v>
      </c>
      <c r="E442" s="264">
        <v>12</v>
      </c>
      <c r="F442" s="264">
        <v>5831</v>
      </c>
      <c r="G442" s="264">
        <v>69977</v>
      </c>
      <c r="H442" s="264">
        <v>1469</v>
      </c>
      <c r="I442" s="264">
        <v>17630</v>
      </c>
      <c r="J442" s="264">
        <v>52347</v>
      </c>
    </row>
    <row r="443" spans="1:10" ht="14.1" customHeight="1" x14ac:dyDescent="0.2">
      <c r="A443" s="278"/>
      <c r="B443" s="278"/>
      <c r="C443" s="278"/>
      <c r="D443" s="261" t="s">
        <v>154</v>
      </c>
      <c r="E443" s="264">
        <v>1</v>
      </c>
      <c r="F443" s="264">
        <v>7222</v>
      </c>
      <c r="G443" s="264">
        <v>7222</v>
      </c>
      <c r="H443" s="264">
        <v>1469</v>
      </c>
      <c r="I443" s="264">
        <v>1469</v>
      </c>
      <c r="J443" s="264">
        <v>5752</v>
      </c>
    </row>
    <row r="444" spans="1:10" ht="42.95" customHeight="1" x14ac:dyDescent="0.2">
      <c r="A444" s="278"/>
      <c r="B444" s="278"/>
      <c r="C444" s="263" t="s">
        <v>244</v>
      </c>
      <c r="D444" s="261" t="s">
        <v>153</v>
      </c>
      <c r="E444" s="264">
        <v>9</v>
      </c>
      <c r="F444" s="264">
        <v>5504</v>
      </c>
      <c r="G444" s="264">
        <v>49533</v>
      </c>
      <c r="H444" s="264">
        <v>1242</v>
      </c>
      <c r="I444" s="264">
        <v>11176</v>
      </c>
      <c r="J444" s="264">
        <v>38356</v>
      </c>
    </row>
    <row r="445" spans="1:10" ht="42.95" customHeight="1" x14ac:dyDescent="0.2">
      <c r="A445" s="278"/>
      <c r="B445" s="278"/>
      <c r="C445" s="277" t="s">
        <v>245</v>
      </c>
      <c r="D445" s="261" t="s">
        <v>83</v>
      </c>
      <c r="E445" s="264">
        <v>1</v>
      </c>
      <c r="F445" s="264">
        <v>2773</v>
      </c>
      <c r="G445" s="264">
        <v>2773</v>
      </c>
      <c r="H445" s="264">
        <v>790</v>
      </c>
      <c r="I445" s="264">
        <v>790</v>
      </c>
      <c r="J445" s="264">
        <v>1983</v>
      </c>
    </row>
    <row r="446" spans="1:10" ht="14.1" customHeight="1" x14ac:dyDescent="0.2">
      <c r="A446" s="278"/>
      <c r="B446" s="278"/>
      <c r="C446" s="278"/>
      <c r="D446" s="261" t="s">
        <v>92</v>
      </c>
      <c r="E446" s="264">
        <v>76</v>
      </c>
      <c r="F446" s="264">
        <v>31120</v>
      </c>
      <c r="G446" s="264">
        <v>2365152</v>
      </c>
      <c r="H446" s="264">
        <v>790</v>
      </c>
      <c r="I446" s="264">
        <v>60039</v>
      </c>
      <c r="J446" s="264">
        <v>2305114</v>
      </c>
    </row>
    <row r="447" spans="1:10" ht="14.1" customHeight="1" x14ac:dyDescent="0.2">
      <c r="A447" s="278"/>
      <c r="B447" s="278"/>
      <c r="C447" s="278"/>
      <c r="D447" s="261" t="s">
        <v>86</v>
      </c>
      <c r="E447" s="264">
        <v>369</v>
      </c>
      <c r="F447" s="264">
        <v>18898</v>
      </c>
      <c r="G447" s="264">
        <v>6973318</v>
      </c>
      <c r="H447" s="264">
        <v>790</v>
      </c>
      <c r="I447" s="264">
        <v>291503</v>
      </c>
      <c r="J447" s="264">
        <v>6681815</v>
      </c>
    </row>
    <row r="448" spans="1:10" ht="14.1" customHeight="1" x14ac:dyDescent="0.2">
      <c r="A448" s="278"/>
      <c r="B448" s="278"/>
      <c r="C448" s="278"/>
      <c r="D448" s="261" t="s">
        <v>87</v>
      </c>
      <c r="E448" s="264">
        <v>3</v>
      </c>
      <c r="F448" s="264">
        <v>12107</v>
      </c>
      <c r="G448" s="264">
        <v>36321</v>
      </c>
      <c r="H448" s="264">
        <v>790</v>
      </c>
      <c r="I448" s="264">
        <v>2370</v>
      </c>
      <c r="J448" s="264">
        <v>33951</v>
      </c>
    </row>
    <row r="449" spans="1:10" ht="14.1" customHeight="1" x14ac:dyDescent="0.2">
      <c r="A449" s="278"/>
      <c r="B449" s="278"/>
      <c r="C449" s="278"/>
      <c r="D449" s="261" t="s">
        <v>84</v>
      </c>
      <c r="E449" s="264">
        <v>552</v>
      </c>
      <c r="F449" s="264">
        <v>8486</v>
      </c>
      <c r="G449" s="264">
        <v>4684023</v>
      </c>
      <c r="H449" s="264">
        <v>790</v>
      </c>
      <c r="I449" s="264">
        <v>436069</v>
      </c>
      <c r="J449" s="264">
        <v>4247954</v>
      </c>
    </row>
    <row r="450" spans="1:10" ht="14.1" customHeight="1" x14ac:dyDescent="0.2">
      <c r="A450" s="278"/>
      <c r="B450" s="278"/>
      <c r="C450" s="278"/>
      <c r="D450" s="261" t="s">
        <v>85</v>
      </c>
      <c r="E450" s="264">
        <v>1</v>
      </c>
      <c r="F450" s="264">
        <v>5771</v>
      </c>
      <c r="G450" s="264">
        <v>5771</v>
      </c>
      <c r="H450" s="264">
        <v>790</v>
      </c>
      <c r="I450" s="264">
        <v>790</v>
      </c>
      <c r="J450" s="264">
        <v>4981</v>
      </c>
    </row>
    <row r="451" spans="1:10" ht="14.1" customHeight="1" x14ac:dyDescent="0.2">
      <c r="A451" s="278"/>
      <c r="B451" s="278"/>
      <c r="C451" s="278"/>
      <c r="D451" s="261" t="s">
        <v>96</v>
      </c>
      <c r="E451" s="264">
        <v>1</v>
      </c>
      <c r="F451" s="264">
        <v>3507</v>
      </c>
      <c r="G451" s="264">
        <v>3507</v>
      </c>
      <c r="H451" s="264">
        <v>790</v>
      </c>
      <c r="I451" s="264">
        <v>790</v>
      </c>
      <c r="J451" s="264">
        <v>2717</v>
      </c>
    </row>
    <row r="452" spans="1:10" ht="14.1" customHeight="1" x14ac:dyDescent="0.2">
      <c r="A452" s="278"/>
      <c r="B452" s="278"/>
      <c r="C452" s="278"/>
      <c r="D452" s="261" t="s">
        <v>88</v>
      </c>
      <c r="E452" s="264">
        <v>30</v>
      </c>
      <c r="F452" s="264">
        <v>2149</v>
      </c>
      <c r="G452" s="264">
        <v>64480</v>
      </c>
      <c r="H452" s="264">
        <v>790</v>
      </c>
      <c r="I452" s="264">
        <v>23699</v>
      </c>
      <c r="J452" s="264">
        <v>40780</v>
      </c>
    </row>
    <row r="453" spans="1:10" ht="14.1" customHeight="1" x14ac:dyDescent="0.2">
      <c r="A453" s="278"/>
      <c r="B453" s="278"/>
      <c r="C453" s="278"/>
      <c r="D453" s="261" t="s">
        <v>78</v>
      </c>
      <c r="E453" s="264">
        <v>1358</v>
      </c>
      <c r="F453" s="264">
        <v>37175</v>
      </c>
      <c r="G453" s="264">
        <v>50484108</v>
      </c>
      <c r="H453" s="264">
        <v>790</v>
      </c>
      <c r="I453" s="264">
        <v>1072794</v>
      </c>
      <c r="J453" s="264">
        <v>49411314</v>
      </c>
    </row>
    <row r="454" spans="1:10" ht="14.1" customHeight="1" x14ac:dyDescent="0.2">
      <c r="A454" s="278"/>
      <c r="B454" s="278"/>
      <c r="C454" s="278"/>
      <c r="D454" s="261" t="s">
        <v>153</v>
      </c>
      <c r="E454" s="264">
        <v>260</v>
      </c>
      <c r="F454" s="264">
        <v>5152</v>
      </c>
      <c r="G454" s="264">
        <v>1339576</v>
      </c>
      <c r="H454" s="264">
        <v>790</v>
      </c>
      <c r="I454" s="264">
        <v>205395</v>
      </c>
      <c r="J454" s="264">
        <v>1134181</v>
      </c>
    </row>
    <row r="455" spans="1:10" ht="14.1" customHeight="1" x14ac:dyDescent="0.2">
      <c r="A455" s="278"/>
      <c r="B455" s="278"/>
      <c r="C455" s="278"/>
      <c r="D455" s="261" t="s">
        <v>154</v>
      </c>
      <c r="E455" s="264">
        <v>72</v>
      </c>
      <c r="F455" s="264">
        <v>6542</v>
      </c>
      <c r="G455" s="264">
        <v>471052</v>
      </c>
      <c r="H455" s="264">
        <v>790</v>
      </c>
      <c r="I455" s="264">
        <v>56879</v>
      </c>
      <c r="J455" s="264">
        <v>414173</v>
      </c>
    </row>
    <row r="456" spans="1:10" ht="29.1" customHeight="1" x14ac:dyDescent="0.2">
      <c r="A456" s="278"/>
      <c r="B456" s="277" t="s">
        <v>247</v>
      </c>
      <c r="C456" s="280" t="s">
        <v>75</v>
      </c>
      <c r="D456" s="261" t="s">
        <v>99</v>
      </c>
      <c r="E456" s="264">
        <v>1</v>
      </c>
      <c r="F456" s="264">
        <v>30330</v>
      </c>
      <c r="G456" s="264">
        <v>30330</v>
      </c>
      <c r="H456" s="264">
        <v>1188</v>
      </c>
      <c r="I456" s="264">
        <v>1188</v>
      </c>
      <c r="J456" s="264">
        <v>29143</v>
      </c>
    </row>
    <row r="457" spans="1:10" ht="14.1" customHeight="1" x14ac:dyDescent="0.2">
      <c r="A457" s="278"/>
      <c r="B457" s="278"/>
      <c r="C457" s="278"/>
      <c r="D457" s="261" t="s">
        <v>91</v>
      </c>
      <c r="E457" s="264">
        <v>1</v>
      </c>
      <c r="F457" s="264">
        <v>18108</v>
      </c>
      <c r="G457" s="264">
        <v>18108</v>
      </c>
      <c r="H457" s="264">
        <v>1188</v>
      </c>
      <c r="I457" s="264">
        <v>1188</v>
      </c>
      <c r="J457" s="264">
        <v>16920</v>
      </c>
    </row>
    <row r="458" spans="1:10" ht="14.1" customHeight="1" x14ac:dyDescent="0.2">
      <c r="A458" s="278"/>
      <c r="B458" s="278"/>
      <c r="C458" s="278"/>
      <c r="D458" s="261" t="s">
        <v>97</v>
      </c>
      <c r="E458" s="264">
        <v>2</v>
      </c>
      <c r="F458" s="264">
        <v>11317</v>
      </c>
      <c r="G458" s="264">
        <v>22634</v>
      </c>
      <c r="H458" s="264">
        <v>1188</v>
      </c>
      <c r="I458" s="264">
        <v>2376</v>
      </c>
      <c r="J458" s="264">
        <v>20258</v>
      </c>
    </row>
    <row r="459" spans="1:10" ht="14.1" customHeight="1" x14ac:dyDescent="0.2">
      <c r="A459" s="278"/>
      <c r="B459" s="278"/>
      <c r="C459" s="278"/>
      <c r="D459" s="261" t="s">
        <v>90</v>
      </c>
      <c r="E459" s="264">
        <v>4</v>
      </c>
      <c r="F459" s="264">
        <v>7696</v>
      </c>
      <c r="G459" s="264">
        <v>30782</v>
      </c>
      <c r="H459" s="264">
        <v>1188</v>
      </c>
      <c r="I459" s="264">
        <v>4751</v>
      </c>
      <c r="J459" s="264">
        <v>26031</v>
      </c>
    </row>
    <row r="460" spans="1:10" ht="42.95" customHeight="1" x14ac:dyDescent="0.2">
      <c r="A460" s="278"/>
      <c r="B460" s="278"/>
      <c r="C460" s="263" t="s">
        <v>243</v>
      </c>
      <c r="D460" s="261" t="s">
        <v>84</v>
      </c>
      <c r="E460" s="264">
        <v>6</v>
      </c>
      <c r="F460" s="264">
        <v>9165</v>
      </c>
      <c r="G460" s="264">
        <v>54988</v>
      </c>
      <c r="H460" s="264">
        <v>2657</v>
      </c>
      <c r="I460" s="264">
        <v>15942</v>
      </c>
      <c r="J460" s="264">
        <v>39046</v>
      </c>
    </row>
    <row r="461" spans="1:10" ht="42.95" customHeight="1" x14ac:dyDescent="0.2">
      <c r="A461" s="278"/>
      <c r="B461" s="278"/>
      <c r="C461" s="277" t="s">
        <v>245</v>
      </c>
      <c r="D461" s="261" t="s">
        <v>92</v>
      </c>
      <c r="E461" s="264">
        <v>167</v>
      </c>
      <c r="F461" s="264">
        <v>31120</v>
      </c>
      <c r="G461" s="264">
        <v>5197111</v>
      </c>
      <c r="H461" s="264">
        <v>1978</v>
      </c>
      <c r="I461" s="264">
        <v>330300</v>
      </c>
      <c r="J461" s="264">
        <v>4866811</v>
      </c>
    </row>
    <row r="462" spans="1:10" ht="14.1" customHeight="1" x14ac:dyDescent="0.2">
      <c r="A462" s="278"/>
      <c r="B462" s="278"/>
      <c r="C462" s="278"/>
      <c r="D462" s="261" t="s">
        <v>86</v>
      </c>
      <c r="E462" s="264">
        <v>339</v>
      </c>
      <c r="F462" s="264">
        <v>18898</v>
      </c>
      <c r="G462" s="264">
        <v>6406382</v>
      </c>
      <c r="H462" s="264">
        <v>1978</v>
      </c>
      <c r="I462" s="264">
        <v>670488</v>
      </c>
      <c r="J462" s="264">
        <v>5735893</v>
      </c>
    </row>
    <row r="463" spans="1:10" ht="14.1" customHeight="1" x14ac:dyDescent="0.2">
      <c r="A463" s="278"/>
      <c r="B463" s="278"/>
      <c r="C463" s="278"/>
      <c r="D463" s="261" t="s">
        <v>87</v>
      </c>
      <c r="E463" s="264">
        <v>481</v>
      </c>
      <c r="F463" s="264">
        <v>12107</v>
      </c>
      <c r="G463" s="264">
        <v>5823436</v>
      </c>
      <c r="H463" s="264">
        <v>1978</v>
      </c>
      <c r="I463" s="264">
        <v>951342</v>
      </c>
      <c r="J463" s="264">
        <v>4872094</v>
      </c>
    </row>
    <row r="464" spans="1:10" ht="14.1" customHeight="1" x14ac:dyDescent="0.2">
      <c r="A464" s="278"/>
      <c r="B464" s="278"/>
      <c r="C464" s="278"/>
      <c r="D464" s="261" t="s">
        <v>84</v>
      </c>
      <c r="E464" s="264">
        <v>2247</v>
      </c>
      <c r="F464" s="264">
        <v>8486</v>
      </c>
      <c r="G464" s="264">
        <v>19067029</v>
      </c>
      <c r="H464" s="264">
        <v>1978</v>
      </c>
      <c r="I464" s="264">
        <v>4444211</v>
      </c>
      <c r="J464" s="264">
        <v>14622818</v>
      </c>
    </row>
    <row r="465" spans="1:10" ht="14.1" customHeight="1" x14ac:dyDescent="0.2">
      <c r="A465" s="278"/>
      <c r="B465" s="278"/>
      <c r="C465" s="278"/>
      <c r="D465" s="261" t="s">
        <v>85</v>
      </c>
      <c r="E465" s="264">
        <v>85</v>
      </c>
      <c r="F465" s="264">
        <v>5771</v>
      </c>
      <c r="G465" s="264">
        <v>490511</v>
      </c>
      <c r="H465" s="264">
        <v>1978</v>
      </c>
      <c r="I465" s="264">
        <v>168117</v>
      </c>
      <c r="J465" s="264">
        <v>322394</v>
      </c>
    </row>
    <row r="466" spans="1:10" ht="14.1" customHeight="1" x14ac:dyDescent="0.2">
      <c r="A466" s="278"/>
      <c r="B466" s="278"/>
      <c r="C466" s="278"/>
      <c r="D466" s="261" t="s">
        <v>96</v>
      </c>
      <c r="E466" s="264">
        <v>39</v>
      </c>
      <c r="F466" s="264">
        <v>3507</v>
      </c>
      <c r="G466" s="264">
        <v>136763</v>
      </c>
      <c r="H466" s="264">
        <v>1978</v>
      </c>
      <c r="I466" s="264">
        <v>77136</v>
      </c>
      <c r="J466" s="264">
        <v>59627</v>
      </c>
    </row>
    <row r="467" spans="1:10" ht="14.1" customHeight="1" x14ac:dyDescent="0.2">
      <c r="A467" s="278"/>
      <c r="B467" s="278"/>
      <c r="C467" s="278"/>
      <c r="D467" s="261" t="s">
        <v>88</v>
      </c>
      <c r="E467" s="264">
        <v>242</v>
      </c>
      <c r="F467" s="264">
        <v>2149</v>
      </c>
      <c r="G467" s="264">
        <v>520137</v>
      </c>
      <c r="H467" s="264">
        <v>1978</v>
      </c>
      <c r="I467" s="264">
        <v>478638</v>
      </c>
      <c r="J467" s="264">
        <v>41499</v>
      </c>
    </row>
    <row r="468" spans="1:10" ht="14.1" customHeight="1" x14ac:dyDescent="0.2">
      <c r="A468" s="278" t="s">
        <v>8</v>
      </c>
      <c r="B468" s="278" t="s">
        <v>60</v>
      </c>
      <c r="C468" s="278"/>
      <c r="D468" s="278"/>
      <c r="E468" s="264">
        <v>8280</v>
      </c>
      <c r="F468" s="264"/>
      <c r="G468" s="264">
        <v>143327141</v>
      </c>
      <c r="H468" s="264">
        <v>54413</v>
      </c>
      <c r="I468" s="264"/>
      <c r="J468" s="264">
        <v>132053994</v>
      </c>
    </row>
    <row r="469" spans="1:10" ht="14.1" customHeight="1" x14ac:dyDescent="0.2">
      <c r="A469" s="278"/>
      <c r="B469" s="261" t="s">
        <v>71</v>
      </c>
      <c r="C469" s="261" t="s">
        <v>72</v>
      </c>
      <c r="D469" s="261" t="s">
        <v>73</v>
      </c>
      <c r="E469" s="281">
        <v>13</v>
      </c>
      <c r="F469" s="281">
        <v>11382</v>
      </c>
      <c r="G469" s="281">
        <v>147972</v>
      </c>
      <c r="H469" s="281">
        <v>0</v>
      </c>
      <c r="I469" s="281">
        <v>0</v>
      </c>
      <c r="J469" s="281">
        <v>147972</v>
      </c>
    </row>
    <row r="470" spans="1:10" ht="14.1" customHeight="1" x14ac:dyDescent="0.2">
      <c r="A470" s="278"/>
      <c r="B470" s="279" t="s">
        <v>74</v>
      </c>
      <c r="C470" s="262" t="s">
        <v>75</v>
      </c>
      <c r="D470" s="261" t="s">
        <v>77</v>
      </c>
      <c r="E470" s="282"/>
      <c r="F470" s="282"/>
      <c r="G470" s="282"/>
      <c r="H470" s="282"/>
      <c r="I470" s="282"/>
      <c r="J470" s="282"/>
    </row>
    <row r="471" spans="1:10" ht="42.95" customHeight="1" x14ac:dyDescent="0.2">
      <c r="A471" s="278"/>
      <c r="B471" s="278"/>
      <c r="C471" s="263" t="s">
        <v>243</v>
      </c>
      <c r="D471" s="261" t="s">
        <v>79</v>
      </c>
      <c r="E471" s="264">
        <v>14</v>
      </c>
      <c r="F471" s="264">
        <v>12852</v>
      </c>
      <c r="G471" s="264">
        <v>179923</v>
      </c>
      <c r="H471" s="264">
        <v>2657</v>
      </c>
      <c r="I471" s="264">
        <v>37198</v>
      </c>
      <c r="J471" s="264">
        <v>142724</v>
      </c>
    </row>
    <row r="472" spans="1:10" ht="42.95" customHeight="1" x14ac:dyDescent="0.2">
      <c r="A472" s="278"/>
      <c r="B472" s="278"/>
      <c r="C472" s="263" t="s">
        <v>245</v>
      </c>
      <c r="D472" s="261" t="s">
        <v>79</v>
      </c>
      <c r="E472" s="264">
        <v>610</v>
      </c>
      <c r="F472" s="264">
        <v>12172</v>
      </c>
      <c r="G472" s="264">
        <v>7425193</v>
      </c>
      <c r="H472" s="264">
        <v>1978</v>
      </c>
      <c r="I472" s="264">
        <v>1206484</v>
      </c>
      <c r="J472" s="264">
        <v>6218709</v>
      </c>
    </row>
    <row r="473" spans="1:10" ht="42.95" customHeight="1" x14ac:dyDescent="0.2">
      <c r="A473" s="278"/>
      <c r="B473" s="277" t="s">
        <v>246</v>
      </c>
      <c r="C473" s="280" t="s">
        <v>75</v>
      </c>
      <c r="D473" s="261" t="s">
        <v>99</v>
      </c>
      <c r="E473" s="264">
        <v>1</v>
      </c>
      <c r="F473" s="264">
        <v>30330</v>
      </c>
      <c r="G473" s="264">
        <v>30330</v>
      </c>
      <c r="H473" s="264">
        <v>0</v>
      </c>
      <c r="I473" s="264">
        <v>0</v>
      </c>
      <c r="J473" s="264">
        <v>30330</v>
      </c>
    </row>
    <row r="474" spans="1:10" ht="14.1" customHeight="1" x14ac:dyDescent="0.2">
      <c r="A474" s="278"/>
      <c r="B474" s="278"/>
      <c r="C474" s="278"/>
      <c r="D474" s="261" t="s">
        <v>91</v>
      </c>
      <c r="E474" s="264">
        <v>276</v>
      </c>
      <c r="F474" s="264">
        <v>18108</v>
      </c>
      <c r="G474" s="264">
        <v>4997780</v>
      </c>
      <c r="H474" s="264">
        <v>0</v>
      </c>
      <c r="I474" s="264">
        <v>0</v>
      </c>
      <c r="J474" s="264">
        <v>4997780</v>
      </c>
    </row>
    <row r="475" spans="1:10" ht="14.1" customHeight="1" x14ac:dyDescent="0.2">
      <c r="A475" s="278"/>
      <c r="B475" s="278"/>
      <c r="C475" s="278"/>
      <c r="D475" s="261" t="s">
        <v>97</v>
      </c>
      <c r="E475" s="264">
        <v>3</v>
      </c>
      <c r="F475" s="264">
        <v>11317</v>
      </c>
      <c r="G475" s="264">
        <v>33951</v>
      </c>
      <c r="H475" s="264">
        <v>0</v>
      </c>
      <c r="I475" s="264">
        <v>0</v>
      </c>
      <c r="J475" s="264">
        <v>33951</v>
      </c>
    </row>
    <row r="476" spans="1:10" ht="14.1" customHeight="1" x14ac:dyDescent="0.2">
      <c r="A476" s="278"/>
      <c r="B476" s="278"/>
      <c r="C476" s="278"/>
      <c r="D476" s="261" t="s">
        <v>90</v>
      </c>
      <c r="E476" s="264">
        <v>8</v>
      </c>
      <c r="F476" s="264">
        <v>7696</v>
      </c>
      <c r="G476" s="264">
        <v>61565</v>
      </c>
      <c r="H476" s="264">
        <v>0</v>
      </c>
      <c r="I476" s="264">
        <v>0</v>
      </c>
      <c r="J476" s="264">
        <v>61565</v>
      </c>
    </row>
    <row r="477" spans="1:10" ht="14.1" customHeight="1" x14ac:dyDescent="0.2">
      <c r="A477" s="278"/>
      <c r="B477" s="278"/>
      <c r="C477" s="278"/>
      <c r="D477" s="261" t="s">
        <v>76</v>
      </c>
      <c r="E477" s="264">
        <v>26</v>
      </c>
      <c r="F477" s="264">
        <v>36385</v>
      </c>
      <c r="G477" s="264">
        <v>946019</v>
      </c>
      <c r="H477" s="264">
        <v>0</v>
      </c>
      <c r="I477" s="264">
        <v>0</v>
      </c>
      <c r="J477" s="264">
        <v>946019</v>
      </c>
    </row>
    <row r="478" spans="1:10" ht="14.1" customHeight="1" x14ac:dyDescent="0.2">
      <c r="A478" s="278"/>
      <c r="B478" s="278"/>
      <c r="C478" s="278"/>
      <c r="D478" s="261" t="s">
        <v>151</v>
      </c>
      <c r="E478" s="264">
        <v>36</v>
      </c>
      <c r="F478" s="264">
        <v>5752</v>
      </c>
      <c r="G478" s="264">
        <v>207087</v>
      </c>
      <c r="H478" s="264">
        <v>0</v>
      </c>
      <c r="I478" s="264">
        <v>0</v>
      </c>
      <c r="J478" s="264">
        <v>207087</v>
      </c>
    </row>
    <row r="479" spans="1:10" ht="42.95" customHeight="1" x14ac:dyDescent="0.2">
      <c r="A479" s="278"/>
      <c r="B479" s="278"/>
      <c r="C479" s="277" t="s">
        <v>243</v>
      </c>
      <c r="D479" s="261" t="s">
        <v>83</v>
      </c>
      <c r="E479" s="264">
        <v>1</v>
      </c>
      <c r="F479" s="264">
        <v>3452</v>
      </c>
      <c r="G479" s="264">
        <v>3452</v>
      </c>
      <c r="H479" s="264">
        <v>1469</v>
      </c>
      <c r="I479" s="264">
        <v>1469</v>
      </c>
      <c r="J479" s="264">
        <v>1983</v>
      </c>
    </row>
    <row r="480" spans="1:10" ht="14.1" customHeight="1" x14ac:dyDescent="0.2">
      <c r="A480" s="278"/>
      <c r="B480" s="278"/>
      <c r="C480" s="278"/>
      <c r="D480" s="261" t="s">
        <v>92</v>
      </c>
      <c r="E480" s="264">
        <v>1</v>
      </c>
      <c r="F480" s="264">
        <v>31800</v>
      </c>
      <c r="G480" s="264">
        <v>31800</v>
      </c>
      <c r="H480" s="264">
        <v>1469</v>
      </c>
      <c r="I480" s="264">
        <v>1469</v>
      </c>
      <c r="J480" s="264">
        <v>30330</v>
      </c>
    </row>
    <row r="481" spans="1:10" ht="14.1" customHeight="1" x14ac:dyDescent="0.2">
      <c r="A481" s="278"/>
      <c r="B481" s="278"/>
      <c r="C481" s="278"/>
      <c r="D481" s="261" t="s">
        <v>86</v>
      </c>
      <c r="E481" s="264">
        <v>4</v>
      </c>
      <c r="F481" s="264">
        <v>19577</v>
      </c>
      <c r="G481" s="264">
        <v>78308</v>
      </c>
      <c r="H481" s="264">
        <v>1469</v>
      </c>
      <c r="I481" s="264">
        <v>5877</v>
      </c>
      <c r="J481" s="264">
        <v>72432</v>
      </c>
    </row>
    <row r="482" spans="1:10" ht="14.1" customHeight="1" x14ac:dyDescent="0.2">
      <c r="A482" s="278"/>
      <c r="B482" s="278"/>
      <c r="C482" s="278"/>
      <c r="D482" s="261" t="s">
        <v>84</v>
      </c>
      <c r="E482" s="264">
        <v>8</v>
      </c>
      <c r="F482" s="264">
        <v>9165</v>
      </c>
      <c r="G482" s="264">
        <v>73318</v>
      </c>
      <c r="H482" s="264">
        <v>1469</v>
      </c>
      <c r="I482" s="264">
        <v>11753</v>
      </c>
      <c r="J482" s="264">
        <v>61565</v>
      </c>
    </row>
    <row r="483" spans="1:10" ht="14.1" customHeight="1" x14ac:dyDescent="0.2">
      <c r="A483" s="278"/>
      <c r="B483" s="278"/>
      <c r="C483" s="278"/>
      <c r="D483" s="261" t="s">
        <v>78</v>
      </c>
      <c r="E483" s="264">
        <v>12</v>
      </c>
      <c r="F483" s="264">
        <v>37855</v>
      </c>
      <c r="G483" s="264">
        <v>454254</v>
      </c>
      <c r="H483" s="264">
        <v>1469</v>
      </c>
      <c r="I483" s="264">
        <v>17630</v>
      </c>
      <c r="J483" s="264">
        <v>436624</v>
      </c>
    </row>
    <row r="484" spans="1:10" ht="42.95" customHeight="1" x14ac:dyDescent="0.2">
      <c r="A484" s="278"/>
      <c r="B484" s="278"/>
      <c r="C484" s="263" t="s">
        <v>244</v>
      </c>
      <c r="D484" s="261" t="s">
        <v>153</v>
      </c>
      <c r="E484" s="264">
        <v>1</v>
      </c>
      <c r="F484" s="264">
        <v>5604</v>
      </c>
      <c r="G484" s="264">
        <v>5604</v>
      </c>
      <c r="H484" s="264">
        <v>1242</v>
      </c>
      <c r="I484" s="264">
        <v>1242</v>
      </c>
      <c r="J484" s="264">
        <v>4362</v>
      </c>
    </row>
    <row r="485" spans="1:10" ht="42.95" customHeight="1" x14ac:dyDescent="0.2">
      <c r="A485" s="278"/>
      <c r="B485" s="278"/>
      <c r="C485" s="277" t="s">
        <v>245</v>
      </c>
      <c r="D485" s="261" t="s">
        <v>102</v>
      </c>
      <c r="E485" s="264">
        <v>2</v>
      </c>
      <c r="F485" s="264">
        <v>97664</v>
      </c>
      <c r="G485" s="264">
        <v>195328</v>
      </c>
      <c r="H485" s="264">
        <v>790</v>
      </c>
      <c r="I485" s="264">
        <v>1580</v>
      </c>
      <c r="J485" s="264">
        <v>193748</v>
      </c>
    </row>
    <row r="486" spans="1:10" ht="14.1" customHeight="1" x14ac:dyDescent="0.2">
      <c r="A486" s="278"/>
      <c r="B486" s="278"/>
      <c r="C486" s="278"/>
      <c r="D486" s="261" t="s">
        <v>118</v>
      </c>
      <c r="E486" s="264">
        <v>4</v>
      </c>
      <c r="F486" s="264">
        <v>51490</v>
      </c>
      <c r="G486" s="264">
        <v>205961</v>
      </c>
      <c r="H486" s="264">
        <v>790</v>
      </c>
      <c r="I486" s="264">
        <v>3160</v>
      </c>
      <c r="J486" s="264">
        <v>202802</v>
      </c>
    </row>
    <row r="487" spans="1:10" ht="14.1" customHeight="1" x14ac:dyDescent="0.2">
      <c r="A487" s="278"/>
      <c r="B487" s="278"/>
      <c r="C487" s="278"/>
      <c r="D487" s="261" t="s">
        <v>92</v>
      </c>
      <c r="E487" s="264">
        <v>513</v>
      </c>
      <c r="F487" s="264">
        <v>31120</v>
      </c>
      <c r="G487" s="264">
        <v>15964777</v>
      </c>
      <c r="H487" s="264">
        <v>790</v>
      </c>
      <c r="I487" s="264">
        <v>405260</v>
      </c>
      <c r="J487" s="264">
        <v>15559517</v>
      </c>
    </row>
    <row r="488" spans="1:10" ht="14.1" customHeight="1" x14ac:dyDescent="0.2">
      <c r="A488" s="278"/>
      <c r="B488" s="278"/>
      <c r="C488" s="278"/>
      <c r="D488" s="261" t="s">
        <v>86</v>
      </c>
      <c r="E488" s="264">
        <v>1108</v>
      </c>
      <c r="F488" s="264">
        <v>18898</v>
      </c>
      <c r="G488" s="264">
        <v>20938852</v>
      </c>
      <c r="H488" s="264">
        <v>790</v>
      </c>
      <c r="I488" s="264">
        <v>875299</v>
      </c>
      <c r="J488" s="264">
        <v>20063553</v>
      </c>
    </row>
    <row r="489" spans="1:10" ht="14.1" customHeight="1" x14ac:dyDescent="0.2">
      <c r="A489" s="278"/>
      <c r="B489" s="278"/>
      <c r="C489" s="278"/>
      <c r="D489" s="261" t="s">
        <v>87</v>
      </c>
      <c r="E489" s="264">
        <v>350</v>
      </c>
      <c r="F489" s="264">
        <v>12107</v>
      </c>
      <c r="G489" s="264">
        <v>4237428</v>
      </c>
      <c r="H489" s="264">
        <v>790</v>
      </c>
      <c r="I489" s="264">
        <v>276493</v>
      </c>
      <c r="J489" s="264">
        <v>3960934</v>
      </c>
    </row>
    <row r="490" spans="1:10" ht="14.1" customHeight="1" x14ac:dyDescent="0.2">
      <c r="A490" s="278"/>
      <c r="B490" s="278"/>
      <c r="C490" s="278"/>
      <c r="D490" s="261" t="s">
        <v>84</v>
      </c>
      <c r="E490" s="264">
        <v>480</v>
      </c>
      <c r="F490" s="264">
        <v>8486</v>
      </c>
      <c r="G490" s="264">
        <v>4073064</v>
      </c>
      <c r="H490" s="264">
        <v>790</v>
      </c>
      <c r="I490" s="264">
        <v>379191</v>
      </c>
      <c r="J490" s="264">
        <v>3693873</v>
      </c>
    </row>
    <row r="491" spans="1:10" ht="14.1" customHeight="1" x14ac:dyDescent="0.2">
      <c r="A491" s="278"/>
      <c r="B491" s="278"/>
      <c r="C491" s="278"/>
      <c r="D491" s="261" t="s">
        <v>85</v>
      </c>
      <c r="E491" s="264">
        <v>8</v>
      </c>
      <c r="F491" s="264">
        <v>5771</v>
      </c>
      <c r="G491" s="264">
        <v>46166</v>
      </c>
      <c r="H491" s="264">
        <v>790</v>
      </c>
      <c r="I491" s="264">
        <v>6320</v>
      </c>
      <c r="J491" s="264">
        <v>39846</v>
      </c>
    </row>
    <row r="492" spans="1:10" ht="14.1" customHeight="1" x14ac:dyDescent="0.2">
      <c r="A492" s="278"/>
      <c r="B492" s="278"/>
      <c r="C492" s="278"/>
      <c r="D492" s="261" t="s">
        <v>96</v>
      </c>
      <c r="E492" s="264">
        <v>5</v>
      </c>
      <c r="F492" s="264">
        <v>3507</v>
      </c>
      <c r="G492" s="264">
        <v>17534</v>
      </c>
      <c r="H492" s="264">
        <v>790</v>
      </c>
      <c r="I492" s="264">
        <v>3950</v>
      </c>
      <c r="J492" s="264">
        <v>13584</v>
      </c>
    </row>
    <row r="493" spans="1:10" ht="14.1" customHeight="1" x14ac:dyDescent="0.2">
      <c r="A493" s="278"/>
      <c r="B493" s="278"/>
      <c r="C493" s="278"/>
      <c r="D493" s="261" t="s">
        <v>88</v>
      </c>
      <c r="E493" s="264">
        <v>8</v>
      </c>
      <c r="F493" s="264">
        <v>2149</v>
      </c>
      <c r="G493" s="264">
        <v>17195</v>
      </c>
      <c r="H493" s="264">
        <v>790</v>
      </c>
      <c r="I493" s="264">
        <v>6320</v>
      </c>
      <c r="J493" s="264">
        <v>10875</v>
      </c>
    </row>
    <row r="494" spans="1:10" ht="14.1" customHeight="1" x14ac:dyDescent="0.2">
      <c r="A494" s="278"/>
      <c r="B494" s="278"/>
      <c r="C494" s="278"/>
      <c r="D494" s="261" t="s">
        <v>78</v>
      </c>
      <c r="E494" s="264">
        <v>1044</v>
      </c>
      <c r="F494" s="264">
        <v>37175</v>
      </c>
      <c r="G494" s="264">
        <v>38811052</v>
      </c>
      <c r="H494" s="264">
        <v>790</v>
      </c>
      <c r="I494" s="264">
        <v>824740</v>
      </c>
      <c r="J494" s="264">
        <v>37986312</v>
      </c>
    </row>
    <row r="495" spans="1:10" ht="14.1" customHeight="1" x14ac:dyDescent="0.2">
      <c r="A495" s="278"/>
      <c r="B495" s="278"/>
      <c r="C495" s="278"/>
      <c r="D495" s="261" t="s">
        <v>152</v>
      </c>
      <c r="E495" s="264">
        <v>28</v>
      </c>
      <c r="F495" s="264">
        <v>28002</v>
      </c>
      <c r="G495" s="264">
        <v>784054</v>
      </c>
      <c r="H495" s="264">
        <v>790</v>
      </c>
      <c r="I495" s="264">
        <v>22119</v>
      </c>
      <c r="J495" s="264">
        <v>761934</v>
      </c>
    </row>
    <row r="496" spans="1:10" ht="14.1" customHeight="1" x14ac:dyDescent="0.2">
      <c r="A496" s="278"/>
      <c r="B496" s="278"/>
      <c r="C496" s="278"/>
      <c r="D496" s="261" t="s">
        <v>154</v>
      </c>
      <c r="E496" s="264">
        <v>116</v>
      </c>
      <c r="F496" s="264">
        <v>6542</v>
      </c>
      <c r="G496" s="264">
        <v>758917</v>
      </c>
      <c r="H496" s="264">
        <v>790</v>
      </c>
      <c r="I496" s="264">
        <v>91638</v>
      </c>
      <c r="J496" s="264">
        <v>667279</v>
      </c>
    </row>
    <row r="497" spans="1:10" ht="29.1" customHeight="1" x14ac:dyDescent="0.2">
      <c r="A497" s="278"/>
      <c r="B497" s="277" t="s">
        <v>247</v>
      </c>
      <c r="C497" s="280" t="s">
        <v>75</v>
      </c>
      <c r="D497" s="261" t="s">
        <v>91</v>
      </c>
      <c r="E497" s="264">
        <v>9</v>
      </c>
      <c r="F497" s="264">
        <v>18108</v>
      </c>
      <c r="G497" s="264">
        <v>162971</v>
      </c>
      <c r="H497" s="264">
        <v>1188</v>
      </c>
      <c r="I497" s="264">
        <v>10691</v>
      </c>
      <c r="J497" s="264">
        <v>152280</v>
      </c>
    </row>
    <row r="498" spans="1:10" ht="14.1" customHeight="1" x14ac:dyDescent="0.2">
      <c r="A498" s="278"/>
      <c r="B498" s="278"/>
      <c r="C498" s="278"/>
      <c r="D498" s="261" t="s">
        <v>97</v>
      </c>
      <c r="E498" s="264">
        <v>4</v>
      </c>
      <c r="F498" s="264">
        <v>11317</v>
      </c>
      <c r="G498" s="264">
        <v>45268</v>
      </c>
      <c r="H498" s="264">
        <v>1188</v>
      </c>
      <c r="I498" s="264">
        <v>4751</v>
      </c>
      <c r="J498" s="264">
        <v>40516</v>
      </c>
    </row>
    <row r="499" spans="1:10" ht="14.1" customHeight="1" x14ac:dyDescent="0.2">
      <c r="A499" s="278"/>
      <c r="B499" s="278"/>
      <c r="C499" s="278"/>
      <c r="D499" s="261" t="s">
        <v>90</v>
      </c>
      <c r="E499" s="264">
        <v>25</v>
      </c>
      <c r="F499" s="264">
        <v>7696</v>
      </c>
      <c r="G499" s="264">
        <v>192389</v>
      </c>
      <c r="H499" s="264">
        <v>1188</v>
      </c>
      <c r="I499" s="264">
        <v>29697</v>
      </c>
      <c r="J499" s="264">
        <v>162693</v>
      </c>
    </row>
    <row r="500" spans="1:10" ht="14.1" customHeight="1" x14ac:dyDescent="0.2">
      <c r="A500" s="278"/>
      <c r="B500" s="278"/>
      <c r="C500" s="278"/>
      <c r="D500" s="261" t="s">
        <v>100</v>
      </c>
      <c r="E500" s="264">
        <v>1</v>
      </c>
      <c r="F500" s="264">
        <v>4981</v>
      </c>
      <c r="G500" s="264">
        <v>4981</v>
      </c>
      <c r="H500" s="264">
        <v>1188</v>
      </c>
      <c r="I500" s="264">
        <v>1188</v>
      </c>
      <c r="J500" s="264">
        <v>3793</v>
      </c>
    </row>
    <row r="501" spans="1:10" ht="14.1" customHeight="1" x14ac:dyDescent="0.2">
      <c r="A501" s="278"/>
      <c r="B501" s="278"/>
      <c r="C501" s="278"/>
      <c r="D501" s="261" t="s">
        <v>103</v>
      </c>
      <c r="E501" s="264">
        <v>2</v>
      </c>
      <c r="F501" s="264">
        <v>1359</v>
      </c>
      <c r="G501" s="264">
        <v>2719</v>
      </c>
      <c r="H501" s="264">
        <v>1188</v>
      </c>
      <c r="I501" s="264">
        <v>2376</v>
      </c>
      <c r="J501" s="264">
        <v>343</v>
      </c>
    </row>
    <row r="502" spans="1:10" ht="42.95" customHeight="1" x14ac:dyDescent="0.2">
      <c r="A502" s="278"/>
      <c r="B502" s="278"/>
      <c r="C502" s="277" t="s">
        <v>243</v>
      </c>
      <c r="D502" s="261" t="s">
        <v>86</v>
      </c>
      <c r="E502" s="264">
        <v>1</v>
      </c>
      <c r="F502" s="264">
        <v>19577</v>
      </c>
      <c r="G502" s="264">
        <v>19577</v>
      </c>
      <c r="H502" s="264">
        <v>2657</v>
      </c>
      <c r="I502" s="264">
        <v>2657</v>
      </c>
      <c r="J502" s="264">
        <v>16920</v>
      </c>
    </row>
    <row r="503" spans="1:10" ht="14.1" customHeight="1" x14ac:dyDescent="0.2">
      <c r="A503" s="278"/>
      <c r="B503" s="278"/>
      <c r="C503" s="278"/>
      <c r="D503" s="261" t="s">
        <v>84</v>
      </c>
      <c r="E503" s="264">
        <v>7</v>
      </c>
      <c r="F503" s="264">
        <v>9165</v>
      </c>
      <c r="G503" s="264">
        <v>64153</v>
      </c>
      <c r="H503" s="264">
        <v>2657</v>
      </c>
      <c r="I503" s="264">
        <v>18599</v>
      </c>
      <c r="J503" s="264">
        <v>45554</v>
      </c>
    </row>
    <row r="504" spans="1:10" ht="14.1" customHeight="1" x14ac:dyDescent="0.2">
      <c r="A504" s="278"/>
      <c r="B504" s="278"/>
      <c r="C504" s="278"/>
      <c r="D504" s="261" t="s">
        <v>88</v>
      </c>
      <c r="E504" s="264">
        <v>1</v>
      </c>
      <c r="F504" s="264">
        <v>2829</v>
      </c>
      <c r="G504" s="264">
        <v>2829</v>
      </c>
      <c r="H504" s="264">
        <v>2657</v>
      </c>
      <c r="I504" s="264">
        <v>2657</v>
      </c>
      <c r="J504" s="264">
        <v>171</v>
      </c>
    </row>
    <row r="505" spans="1:10" ht="42.95" customHeight="1" x14ac:dyDescent="0.2">
      <c r="A505" s="278"/>
      <c r="B505" s="278"/>
      <c r="C505" s="277" t="s">
        <v>245</v>
      </c>
      <c r="D505" s="261" t="s">
        <v>102</v>
      </c>
      <c r="E505" s="264">
        <v>2</v>
      </c>
      <c r="F505" s="264">
        <v>97664</v>
      </c>
      <c r="G505" s="264">
        <v>195328</v>
      </c>
      <c r="H505" s="264">
        <v>1978</v>
      </c>
      <c r="I505" s="264">
        <v>3956</v>
      </c>
      <c r="J505" s="264">
        <v>191372</v>
      </c>
    </row>
    <row r="506" spans="1:10" ht="14.1" customHeight="1" x14ac:dyDescent="0.2">
      <c r="A506" s="278"/>
      <c r="B506" s="278"/>
      <c r="C506" s="278"/>
      <c r="D506" s="261" t="s">
        <v>118</v>
      </c>
      <c r="E506" s="264">
        <v>1</v>
      </c>
      <c r="F506" s="264">
        <v>51490</v>
      </c>
      <c r="G506" s="264">
        <v>51490</v>
      </c>
      <c r="H506" s="264">
        <v>1978</v>
      </c>
      <c r="I506" s="264">
        <v>1978</v>
      </c>
      <c r="J506" s="264">
        <v>49513</v>
      </c>
    </row>
    <row r="507" spans="1:10" ht="14.1" customHeight="1" x14ac:dyDescent="0.2">
      <c r="A507" s="278"/>
      <c r="B507" s="278"/>
      <c r="C507" s="278"/>
      <c r="D507" s="261" t="s">
        <v>92</v>
      </c>
      <c r="E507" s="264">
        <v>124</v>
      </c>
      <c r="F507" s="264">
        <v>31120</v>
      </c>
      <c r="G507" s="264">
        <v>3858933</v>
      </c>
      <c r="H507" s="264">
        <v>1978</v>
      </c>
      <c r="I507" s="264">
        <v>245252</v>
      </c>
      <c r="J507" s="264">
        <v>3613680</v>
      </c>
    </row>
    <row r="508" spans="1:10" ht="14.1" customHeight="1" x14ac:dyDescent="0.2">
      <c r="A508" s="278"/>
      <c r="B508" s="278"/>
      <c r="C508" s="278"/>
      <c r="D508" s="261" t="s">
        <v>86</v>
      </c>
      <c r="E508" s="264">
        <v>880</v>
      </c>
      <c r="F508" s="264">
        <v>18899</v>
      </c>
      <c r="G508" s="264">
        <v>16631493</v>
      </c>
      <c r="H508" s="264">
        <v>1978</v>
      </c>
      <c r="I508" s="264">
        <v>1740501</v>
      </c>
      <c r="J508" s="264">
        <v>14890992</v>
      </c>
    </row>
    <row r="509" spans="1:10" ht="14.1" customHeight="1" x14ac:dyDescent="0.2">
      <c r="A509" s="278"/>
      <c r="B509" s="278"/>
      <c r="C509" s="278"/>
      <c r="D509" s="261" t="s">
        <v>87</v>
      </c>
      <c r="E509" s="264">
        <v>405</v>
      </c>
      <c r="F509" s="264">
        <v>12107</v>
      </c>
      <c r="G509" s="264">
        <v>4903309</v>
      </c>
      <c r="H509" s="264">
        <v>1978</v>
      </c>
      <c r="I509" s="264">
        <v>801026</v>
      </c>
      <c r="J509" s="264">
        <v>4102283</v>
      </c>
    </row>
    <row r="510" spans="1:10" ht="14.1" customHeight="1" x14ac:dyDescent="0.2">
      <c r="A510" s="278"/>
      <c r="B510" s="278"/>
      <c r="C510" s="278"/>
      <c r="D510" s="261" t="s">
        <v>84</v>
      </c>
      <c r="E510" s="264">
        <v>1844</v>
      </c>
      <c r="F510" s="264">
        <v>8486</v>
      </c>
      <c r="G510" s="264">
        <v>15648711</v>
      </c>
      <c r="H510" s="264">
        <v>1978</v>
      </c>
      <c r="I510" s="264">
        <v>3647141</v>
      </c>
      <c r="J510" s="264">
        <v>12001570</v>
      </c>
    </row>
    <row r="511" spans="1:10" ht="14.1" customHeight="1" x14ac:dyDescent="0.2">
      <c r="A511" s="278"/>
      <c r="B511" s="278"/>
      <c r="C511" s="278"/>
      <c r="D511" s="261" t="s">
        <v>85</v>
      </c>
      <c r="E511" s="264">
        <v>31</v>
      </c>
      <c r="F511" s="264">
        <v>5771</v>
      </c>
      <c r="G511" s="264">
        <v>178892</v>
      </c>
      <c r="H511" s="264">
        <v>1978</v>
      </c>
      <c r="I511" s="264">
        <v>61313</v>
      </c>
      <c r="J511" s="264">
        <v>117579</v>
      </c>
    </row>
    <row r="512" spans="1:10" ht="14.1" customHeight="1" x14ac:dyDescent="0.2">
      <c r="A512" s="278"/>
      <c r="B512" s="278"/>
      <c r="C512" s="278"/>
      <c r="D512" s="261" t="s">
        <v>96</v>
      </c>
      <c r="E512" s="264">
        <v>53</v>
      </c>
      <c r="F512" s="264">
        <v>3507</v>
      </c>
      <c r="G512" s="264">
        <v>185857</v>
      </c>
      <c r="H512" s="264">
        <v>1978</v>
      </c>
      <c r="I512" s="264">
        <v>104826</v>
      </c>
      <c r="J512" s="264">
        <v>81032</v>
      </c>
    </row>
    <row r="513" spans="1:10" ht="14.1" customHeight="1" x14ac:dyDescent="0.2">
      <c r="A513" s="278"/>
      <c r="B513" s="278"/>
      <c r="C513" s="278"/>
      <c r="D513" s="261" t="s">
        <v>88</v>
      </c>
      <c r="E513" s="264">
        <v>210</v>
      </c>
      <c r="F513" s="264">
        <v>2149</v>
      </c>
      <c r="G513" s="264">
        <v>451358</v>
      </c>
      <c r="H513" s="264">
        <v>1978</v>
      </c>
      <c r="I513" s="264">
        <v>415347</v>
      </c>
      <c r="J513" s="264">
        <v>36012</v>
      </c>
    </row>
    <row r="514" spans="1:10" ht="29.1" customHeight="1" x14ac:dyDescent="0.2">
      <c r="A514" s="277" t="s">
        <v>251</v>
      </c>
      <c r="B514" s="278" t="s">
        <v>60</v>
      </c>
      <c r="C514" s="278"/>
      <c r="D514" s="278"/>
      <c r="E514" s="264">
        <v>1071</v>
      </c>
      <c r="F514" s="264"/>
      <c r="G514" s="264">
        <v>20179985</v>
      </c>
      <c r="H514" s="264">
        <v>13103</v>
      </c>
      <c r="I514" s="264"/>
      <c r="J514" s="264">
        <v>19296745</v>
      </c>
    </row>
    <row r="515" spans="1:10" ht="14.1" customHeight="1" x14ac:dyDescent="0.2">
      <c r="A515" s="278"/>
      <c r="B515" s="261" t="s">
        <v>71</v>
      </c>
      <c r="C515" s="261" t="s">
        <v>72</v>
      </c>
      <c r="D515" s="261" t="s">
        <v>73</v>
      </c>
      <c r="E515" s="281">
        <v>1</v>
      </c>
      <c r="F515" s="281">
        <v>12852</v>
      </c>
      <c r="G515" s="281">
        <v>12852</v>
      </c>
      <c r="H515" s="281">
        <v>2657</v>
      </c>
      <c r="I515" s="281">
        <v>2657</v>
      </c>
      <c r="J515" s="281">
        <v>10195</v>
      </c>
    </row>
    <row r="516" spans="1:10" ht="42.95" customHeight="1" x14ac:dyDescent="0.2">
      <c r="A516" s="278"/>
      <c r="B516" s="279" t="s">
        <v>74</v>
      </c>
      <c r="C516" s="263" t="s">
        <v>243</v>
      </c>
      <c r="D516" s="261" t="s">
        <v>79</v>
      </c>
      <c r="E516" s="282"/>
      <c r="F516" s="282"/>
      <c r="G516" s="282"/>
      <c r="H516" s="282"/>
      <c r="I516" s="282"/>
      <c r="J516" s="282"/>
    </row>
    <row r="517" spans="1:10" ht="42.95" customHeight="1" x14ac:dyDescent="0.2">
      <c r="A517" s="278"/>
      <c r="B517" s="278"/>
      <c r="C517" s="263" t="s">
        <v>245</v>
      </c>
      <c r="D517" s="261" t="s">
        <v>79</v>
      </c>
      <c r="E517" s="264">
        <v>30</v>
      </c>
      <c r="F517" s="264">
        <v>12172</v>
      </c>
      <c r="G517" s="264">
        <v>365173</v>
      </c>
      <c r="H517" s="264">
        <v>1978</v>
      </c>
      <c r="I517" s="264">
        <v>59335</v>
      </c>
      <c r="J517" s="264">
        <v>305838</v>
      </c>
    </row>
    <row r="518" spans="1:10" ht="42.95" customHeight="1" x14ac:dyDescent="0.2">
      <c r="A518" s="278"/>
      <c r="B518" s="277" t="s">
        <v>246</v>
      </c>
      <c r="C518" s="262" t="s">
        <v>75</v>
      </c>
      <c r="D518" s="261" t="s">
        <v>91</v>
      </c>
      <c r="E518" s="264">
        <v>3</v>
      </c>
      <c r="F518" s="264">
        <v>18108</v>
      </c>
      <c r="G518" s="264">
        <v>54324</v>
      </c>
      <c r="H518" s="264">
        <v>0</v>
      </c>
      <c r="I518" s="264">
        <v>0</v>
      </c>
      <c r="J518" s="264">
        <v>54324</v>
      </c>
    </row>
    <row r="519" spans="1:10" ht="42.95" customHeight="1" x14ac:dyDescent="0.2">
      <c r="A519" s="278"/>
      <c r="B519" s="278"/>
      <c r="C519" s="277" t="s">
        <v>243</v>
      </c>
      <c r="D519" s="261" t="s">
        <v>86</v>
      </c>
      <c r="E519" s="264">
        <v>2</v>
      </c>
      <c r="F519" s="264">
        <v>19577</v>
      </c>
      <c r="G519" s="264">
        <v>39154</v>
      </c>
      <c r="H519" s="264">
        <v>1469</v>
      </c>
      <c r="I519" s="264">
        <v>2938</v>
      </c>
      <c r="J519" s="264">
        <v>36216</v>
      </c>
    </row>
    <row r="520" spans="1:10" ht="14.1" customHeight="1" x14ac:dyDescent="0.2">
      <c r="A520" s="278"/>
      <c r="B520" s="278"/>
      <c r="C520" s="278"/>
      <c r="D520" s="261" t="s">
        <v>152</v>
      </c>
      <c r="E520" s="264">
        <v>1</v>
      </c>
      <c r="F520" s="264">
        <v>28681</v>
      </c>
      <c r="G520" s="264">
        <v>28681</v>
      </c>
      <c r="H520" s="264">
        <v>1469</v>
      </c>
      <c r="I520" s="264">
        <v>1469</v>
      </c>
      <c r="J520" s="264">
        <v>27212</v>
      </c>
    </row>
    <row r="521" spans="1:10" ht="42.95" customHeight="1" x14ac:dyDescent="0.2">
      <c r="A521" s="278"/>
      <c r="B521" s="278"/>
      <c r="C521" s="277" t="s">
        <v>245</v>
      </c>
      <c r="D521" s="261" t="s">
        <v>92</v>
      </c>
      <c r="E521" s="264">
        <v>163</v>
      </c>
      <c r="F521" s="264">
        <v>31120</v>
      </c>
      <c r="G521" s="264">
        <v>5072629</v>
      </c>
      <c r="H521" s="264">
        <v>790</v>
      </c>
      <c r="I521" s="264">
        <v>128767</v>
      </c>
      <c r="J521" s="264">
        <v>4943862</v>
      </c>
    </row>
    <row r="522" spans="1:10" ht="14.1" customHeight="1" x14ac:dyDescent="0.2">
      <c r="A522" s="278"/>
      <c r="B522" s="278"/>
      <c r="C522" s="278"/>
      <c r="D522" s="261" t="s">
        <v>86</v>
      </c>
      <c r="E522" s="264">
        <v>459</v>
      </c>
      <c r="F522" s="264">
        <v>18898</v>
      </c>
      <c r="G522" s="264">
        <v>8674127</v>
      </c>
      <c r="H522" s="264">
        <v>790</v>
      </c>
      <c r="I522" s="264">
        <v>362601</v>
      </c>
      <c r="J522" s="264">
        <v>8311526</v>
      </c>
    </row>
    <row r="523" spans="1:10" ht="14.1" customHeight="1" x14ac:dyDescent="0.2">
      <c r="A523" s="278"/>
      <c r="B523" s="278"/>
      <c r="C523" s="278"/>
      <c r="D523" s="261" t="s">
        <v>87</v>
      </c>
      <c r="E523" s="264">
        <v>55</v>
      </c>
      <c r="F523" s="264">
        <v>12107</v>
      </c>
      <c r="G523" s="264">
        <v>665882</v>
      </c>
      <c r="H523" s="264">
        <v>790</v>
      </c>
      <c r="I523" s="264">
        <v>43449</v>
      </c>
      <c r="J523" s="264">
        <v>622433</v>
      </c>
    </row>
    <row r="524" spans="1:10" ht="14.1" customHeight="1" x14ac:dyDescent="0.2">
      <c r="A524" s="278"/>
      <c r="B524" s="278"/>
      <c r="C524" s="278"/>
      <c r="D524" s="261" t="s">
        <v>84</v>
      </c>
      <c r="E524" s="264">
        <v>271</v>
      </c>
      <c r="F524" s="264">
        <v>8486</v>
      </c>
      <c r="G524" s="264">
        <v>2299584</v>
      </c>
      <c r="H524" s="264">
        <v>790</v>
      </c>
      <c r="I524" s="264">
        <v>214085</v>
      </c>
      <c r="J524" s="264">
        <v>2085499</v>
      </c>
    </row>
    <row r="525" spans="1:10" ht="14.1" customHeight="1" x14ac:dyDescent="0.2">
      <c r="A525" s="278"/>
      <c r="B525" s="278"/>
      <c r="C525" s="278"/>
      <c r="D525" s="261" t="s">
        <v>78</v>
      </c>
      <c r="E525" s="264">
        <v>68</v>
      </c>
      <c r="F525" s="264">
        <v>37175</v>
      </c>
      <c r="G525" s="264">
        <v>2527923</v>
      </c>
      <c r="H525" s="264">
        <v>790</v>
      </c>
      <c r="I525" s="264">
        <v>53719</v>
      </c>
      <c r="J525" s="264">
        <v>2474204</v>
      </c>
    </row>
    <row r="526" spans="1:10" ht="14.1" customHeight="1" x14ac:dyDescent="0.2">
      <c r="A526" s="278"/>
      <c r="B526" s="278"/>
      <c r="C526" s="278"/>
      <c r="D526" s="261" t="s">
        <v>152</v>
      </c>
      <c r="E526" s="264">
        <v>15</v>
      </c>
      <c r="F526" s="264">
        <v>28002</v>
      </c>
      <c r="G526" s="264">
        <v>420029</v>
      </c>
      <c r="H526" s="264">
        <v>790</v>
      </c>
      <c r="I526" s="264">
        <v>11850</v>
      </c>
      <c r="J526" s="264">
        <v>408179</v>
      </c>
    </row>
    <row r="527" spans="1:10" ht="14.1" customHeight="1" x14ac:dyDescent="0.2">
      <c r="A527" s="278"/>
      <c r="B527" s="278"/>
      <c r="C527" s="278"/>
      <c r="D527" s="261" t="s">
        <v>154</v>
      </c>
      <c r="E527" s="264">
        <v>3</v>
      </c>
      <c r="F527" s="264">
        <v>6542</v>
      </c>
      <c r="G527" s="264">
        <v>19627</v>
      </c>
      <c r="H527" s="264">
        <v>790</v>
      </c>
      <c r="I527" s="264">
        <v>2370</v>
      </c>
      <c r="J527" s="264">
        <v>17257</v>
      </c>
    </row>
    <row r="528" spans="1:10" ht="29.1" customHeight="1" x14ac:dyDescent="0.2">
      <c r="A528" s="277" t="s">
        <v>252</v>
      </c>
      <c r="B528" s="278" t="s">
        <v>60</v>
      </c>
      <c r="C528" s="278"/>
      <c r="D528" s="278"/>
      <c r="E528" s="264">
        <v>2634</v>
      </c>
      <c r="F528" s="264"/>
      <c r="G528" s="264">
        <v>36002138</v>
      </c>
      <c r="H528" s="264">
        <v>21068</v>
      </c>
      <c r="I528" s="264"/>
      <c r="J528" s="264">
        <v>32476092</v>
      </c>
    </row>
    <row r="529" spans="1:10" ht="14.1" customHeight="1" x14ac:dyDescent="0.2">
      <c r="A529" s="278"/>
      <c r="B529" s="261" t="s">
        <v>71</v>
      </c>
      <c r="C529" s="261" t="s">
        <v>72</v>
      </c>
      <c r="D529" s="261" t="s">
        <v>73</v>
      </c>
      <c r="E529" s="281">
        <v>14</v>
      </c>
      <c r="F529" s="281">
        <v>11382</v>
      </c>
      <c r="G529" s="281">
        <v>159355</v>
      </c>
      <c r="H529" s="281">
        <v>0</v>
      </c>
      <c r="I529" s="281">
        <v>0</v>
      </c>
      <c r="J529" s="281">
        <v>159355</v>
      </c>
    </row>
    <row r="530" spans="1:10" ht="14.1" customHeight="1" x14ac:dyDescent="0.2">
      <c r="A530" s="278"/>
      <c r="B530" s="279" t="s">
        <v>74</v>
      </c>
      <c r="C530" s="262" t="s">
        <v>75</v>
      </c>
      <c r="D530" s="261" t="s">
        <v>77</v>
      </c>
      <c r="E530" s="282"/>
      <c r="F530" s="282"/>
      <c r="G530" s="282"/>
      <c r="H530" s="282"/>
      <c r="I530" s="282"/>
      <c r="J530" s="282"/>
    </row>
    <row r="531" spans="1:10" ht="42.95" customHeight="1" x14ac:dyDescent="0.2">
      <c r="A531" s="278"/>
      <c r="B531" s="278"/>
      <c r="C531" s="263" t="s">
        <v>245</v>
      </c>
      <c r="D531" s="261" t="s">
        <v>79</v>
      </c>
      <c r="E531" s="264">
        <v>66</v>
      </c>
      <c r="F531" s="264">
        <v>12172</v>
      </c>
      <c r="G531" s="264">
        <v>803382</v>
      </c>
      <c r="H531" s="264">
        <v>1978</v>
      </c>
      <c r="I531" s="264">
        <v>130538</v>
      </c>
      <c r="J531" s="264">
        <v>672844</v>
      </c>
    </row>
    <row r="532" spans="1:10" ht="42.95" customHeight="1" x14ac:dyDescent="0.2">
      <c r="A532" s="278"/>
      <c r="B532" s="277" t="s">
        <v>246</v>
      </c>
      <c r="C532" s="280" t="s">
        <v>75</v>
      </c>
      <c r="D532" s="261" t="s">
        <v>99</v>
      </c>
      <c r="E532" s="264">
        <v>2</v>
      </c>
      <c r="F532" s="264">
        <v>30330</v>
      </c>
      <c r="G532" s="264">
        <v>60661</v>
      </c>
      <c r="H532" s="264">
        <v>0</v>
      </c>
      <c r="I532" s="264">
        <v>0</v>
      </c>
      <c r="J532" s="264">
        <v>60661</v>
      </c>
    </row>
    <row r="533" spans="1:10" ht="14.1" customHeight="1" x14ac:dyDescent="0.2">
      <c r="A533" s="278"/>
      <c r="B533" s="278"/>
      <c r="C533" s="278"/>
      <c r="D533" s="261" t="s">
        <v>91</v>
      </c>
      <c r="E533" s="264">
        <v>1</v>
      </c>
      <c r="F533" s="264">
        <v>18108</v>
      </c>
      <c r="G533" s="264">
        <v>18108</v>
      </c>
      <c r="H533" s="264">
        <v>0</v>
      </c>
      <c r="I533" s="264">
        <v>0</v>
      </c>
      <c r="J533" s="264">
        <v>18108</v>
      </c>
    </row>
    <row r="534" spans="1:10" ht="14.1" customHeight="1" x14ac:dyDescent="0.2">
      <c r="A534" s="278"/>
      <c r="B534" s="278"/>
      <c r="C534" s="278"/>
      <c r="D534" s="261" t="s">
        <v>90</v>
      </c>
      <c r="E534" s="264">
        <v>4</v>
      </c>
      <c r="F534" s="264">
        <v>7696</v>
      </c>
      <c r="G534" s="264">
        <v>30782</v>
      </c>
      <c r="H534" s="264">
        <v>0</v>
      </c>
      <c r="I534" s="264">
        <v>0</v>
      </c>
      <c r="J534" s="264">
        <v>30782</v>
      </c>
    </row>
    <row r="535" spans="1:10" ht="14.1" customHeight="1" x14ac:dyDescent="0.2">
      <c r="A535" s="278"/>
      <c r="B535" s="278"/>
      <c r="C535" s="278"/>
      <c r="D535" s="261" t="s">
        <v>76</v>
      </c>
      <c r="E535" s="264">
        <v>1</v>
      </c>
      <c r="F535" s="264">
        <v>36385</v>
      </c>
      <c r="G535" s="264">
        <v>36385</v>
      </c>
      <c r="H535" s="264">
        <v>0</v>
      </c>
      <c r="I535" s="264">
        <v>0</v>
      </c>
      <c r="J535" s="264">
        <v>36385</v>
      </c>
    </row>
    <row r="536" spans="1:10" ht="14.1" customHeight="1" x14ac:dyDescent="0.2">
      <c r="A536" s="278"/>
      <c r="B536" s="278"/>
      <c r="C536" s="278"/>
      <c r="D536" s="261" t="s">
        <v>151</v>
      </c>
      <c r="E536" s="264">
        <v>4</v>
      </c>
      <c r="F536" s="264">
        <v>5752</v>
      </c>
      <c r="G536" s="264">
        <v>23010</v>
      </c>
      <c r="H536" s="264">
        <v>0</v>
      </c>
      <c r="I536" s="264">
        <v>0</v>
      </c>
      <c r="J536" s="264">
        <v>23010</v>
      </c>
    </row>
    <row r="537" spans="1:10" ht="42.95" customHeight="1" x14ac:dyDescent="0.2">
      <c r="A537" s="278"/>
      <c r="B537" s="278"/>
      <c r="C537" s="277" t="s">
        <v>243</v>
      </c>
      <c r="D537" s="261" t="s">
        <v>84</v>
      </c>
      <c r="E537" s="264">
        <v>1</v>
      </c>
      <c r="F537" s="264">
        <v>9165</v>
      </c>
      <c r="G537" s="264">
        <v>9165</v>
      </c>
      <c r="H537" s="264">
        <v>1469</v>
      </c>
      <c r="I537" s="264">
        <v>1469</v>
      </c>
      <c r="J537" s="264">
        <v>7696</v>
      </c>
    </row>
    <row r="538" spans="1:10" ht="14.1" customHeight="1" x14ac:dyDescent="0.2">
      <c r="A538" s="278"/>
      <c r="B538" s="278"/>
      <c r="C538" s="278"/>
      <c r="D538" s="261" t="s">
        <v>78</v>
      </c>
      <c r="E538" s="264">
        <v>4</v>
      </c>
      <c r="F538" s="264">
        <v>37855</v>
      </c>
      <c r="G538" s="264">
        <v>151418</v>
      </c>
      <c r="H538" s="264">
        <v>1469</v>
      </c>
      <c r="I538" s="264">
        <v>5877</v>
      </c>
      <c r="J538" s="264">
        <v>145541</v>
      </c>
    </row>
    <row r="539" spans="1:10" ht="42.95" customHeight="1" x14ac:dyDescent="0.2">
      <c r="A539" s="278"/>
      <c r="B539" s="278"/>
      <c r="C539" s="263" t="s">
        <v>244</v>
      </c>
      <c r="D539" s="261" t="s">
        <v>153</v>
      </c>
      <c r="E539" s="264">
        <v>52</v>
      </c>
      <c r="F539" s="264">
        <v>5535</v>
      </c>
      <c r="G539" s="264">
        <v>287796</v>
      </c>
      <c r="H539" s="264">
        <v>1242</v>
      </c>
      <c r="I539" s="264">
        <v>64574</v>
      </c>
      <c r="J539" s="264">
        <v>223222</v>
      </c>
    </row>
    <row r="540" spans="1:10" ht="42.95" customHeight="1" x14ac:dyDescent="0.2">
      <c r="A540" s="278"/>
      <c r="B540" s="278"/>
      <c r="C540" s="277" t="s">
        <v>245</v>
      </c>
      <c r="D540" s="261" t="s">
        <v>83</v>
      </c>
      <c r="E540" s="264">
        <v>24</v>
      </c>
      <c r="F540" s="264">
        <v>2773</v>
      </c>
      <c r="G540" s="264">
        <v>66543</v>
      </c>
      <c r="H540" s="264">
        <v>790</v>
      </c>
      <c r="I540" s="264">
        <v>18960</v>
      </c>
      <c r="J540" s="264">
        <v>47584</v>
      </c>
    </row>
    <row r="541" spans="1:10" ht="14.1" customHeight="1" x14ac:dyDescent="0.2">
      <c r="A541" s="278"/>
      <c r="B541" s="278"/>
      <c r="C541" s="278"/>
      <c r="D541" s="261" t="s">
        <v>92</v>
      </c>
      <c r="E541" s="264">
        <v>344</v>
      </c>
      <c r="F541" s="264">
        <v>31120</v>
      </c>
      <c r="G541" s="264">
        <v>10705426</v>
      </c>
      <c r="H541" s="264">
        <v>790</v>
      </c>
      <c r="I541" s="264">
        <v>271753</v>
      </c>
      <c r="J541" s="264">
        <v>10433672</v>
      </c>
    </row>
    <row r="542" spans="1:10" ht="14.1" customHeight="1" x14ac:dyDescent="0.2">
      <c r="A542" s="278"/>
      <c r="B542" s="278"/>
      <c r="C542" s="278"/>
      <c r="D542" s="261" t="s">
        <v>86</v>
      </c>
      <c r="E542" s="264">
        <v>269</v>
      </c>
      <c r="F542" s="264">
        <v>18898</v>
      </c>
      <c r="G542" s="264">
        <v>5083530</v>
      </c>
      <c r="H542" s="264">
        <v>790</v>
      </c>
      <c r="I542" s="264">
        <v>212505</v>
      </c>
      <c r="J542" s="264">
        <v>4871025</v>
      </c>
    </row>
    <row r="543" spans="1:10" ht="14.1" customHeight="1" x14ac:dyDescent="0.2">
      <c r="A543" s="278"/>
      <c r="B543" s="278"/>
      <c r="C543" s="278"/>
      <c r="D543" s="261" t="s">
        <v>87</v>
      </c>
      <c r="E543" s="264">
        <v>14</v>
      </c>
      <c r="F543" s="264">
        <v>12107</v>
      </c>
      <c r="G543" s="264">
        <v>169497</v>
      </c>
      <c r="H543" s="264">
        <v>790</v>
      </c>
      <c r="I543" s="264">
        <v>11060</v>
      </c>
      <c r="J543" s="264">
        <v>158437</v>
      </c>
    </row>
    <row r="544" spans="1:10" ht="14.1" customHeight="1" x14ac:dyDescent="0.2">
      <c r="A544" s="278"/>
      <c r="B544" s="278"/>
      <c r="C544" s="278"/>
      <c r="D544" s="261" t="s">
        <v>84</v>
      </c>
      <c r="E544" s="264">
        <v>342</v>
      </c>
      <c r="F544" s="264">
        <v>8486</v>
      </c>
      <c r="G544" s="264">
        <v>2902058</v>
      </c>
      <c r="H544" s="264">
        <v>790</v>
      </c>
      <c r="I544" s="264">
        <v>270173</v>
      </c>
      <c r="J544" s="264">
        <v>2631884</v>
      </c>
    </row>
    <row r="545" spans="1:10" ht="14.1" customHeight="1" x14ac:dyDescent="0.2">
      <c r="A545" s="278"/>
      <c r="B545" s="278"/>
      <c r="C545" s="278"/>
      <c r="D545" s="261" t="s">
        <v>96</v>
      </c>
      <c r="E545" s="264">
        <v>11</v>
      </c>
      <c r="F545" s="264">
        <v>3507</v>
      </c>
      <c r="G545" s="264">
        <v>38574</v>
      </c>
      <c r="H545" s="264">
        <v>790</v>
      </c>
      <c r="I545" s="264">
        <v>8690</v>
      </c>
      <c r="J545" s="264">
        <v>29884</v>
      </c>
    </row>
    <row r="546" spans="1:10" ht="14.1" customHeight="1" x14ac:dyDescent="0.2">
      <c r="A546" s="278"/>
      <c r="B546" s="278"/>
      <c r="C546" s="278"/>
      <c r="D546" s="261" t="s">
        <v>78</v>
      </c>
      <c r="E546" s="264">
        <v>114</v>
      </c>
      <c r="F546" s="264">
        <v>37175</v>
      </c>
      <c r="G546" s="264">
        <v>4237988</v>
      </c>
      <c r="H546" s="264">
        <v>790</v>
      </c>
      <c r="I546" s="264">
        <v>90058</v>
      </c>
      <c r="J546" s="264">
        <v>4147931</v>
      </c>
    </row>
    <row r="547" spans="1:10" ht="14.1" customHeight="1" x14ac:dyDescent="0.2">
      <c r="A547" s="278"/>
      <c r="B547" s="278"/>
      <c r="C547" s="278"/>
      <c r="D547" s="261" t="s">
        <v>153</v>
      </c>
      <c r="E547" s="264">
        <v>12</v>
      </c>
      <c r="F547" s="264">
        <v>5152</v>
      </c>
      <c r="G547" s="264">
        <v>61827</v>
      </c>
      <c r="H547" s="264">
        <v>790</v>
      </c>
      <c r="I547" s="264">
        <v>9480</v>
      </c>
      <c r="J547" s="264">
        <v>52347</v>
      </c>
    </row>
    <row r="548" spans="1:10" ht="14.1" customHeight="1" x14ac:dyDescent="0.2">
      <c r="A548" s="278"/>
      <c r="B548" s="278"/>
      <c r="C548" s="278"/>
      <c r="D548" s="261" t="s">
        <v>154</v>
      </c>
      <c r="E548" s="264">
        <v>212</v>
      </c>
      <c r="F548" s="264">
        <v>6542</v>
      </c>
      <c r="G548" s="264">
        <v>1386987</v>
      </c>
      <c r="H548" s="264">
        <v>790</v>
      </c>
      <c r="I548" s="264">
        <v>167476</v>
      </c>
      <c r="J548" s="264">
        <v>1219511</v>
      </c>
    </row>
    <row r="549" spans="1:10" ht="29.1" customHeight="1" x14ac:dyDescent="0.2">
      <c r="A549" s="278"/>
      <c r="B549" s="277" t="s">
        <v>247</v>
      </c>
      <c r="C549" s="262" t="s">
        <v>75</v>
      </c>
      <c r="D549" s="261" t="s">
        <v>90</v>
      </c>
      <c r="E549" s="264">
        <v>18</v>
      </c>
      <c r="F549" s="264">
        <v>7696</v>
      </c>
      <c r="G549" s="264">
        <v>138520</v>
      </c>
      <c r="H549" s="264">
        <v>1188</v>
      </c>
      <c r="I549" s="264">
        <v>21382</v>
      </c>
      <c r="J549" s="264">
        <v>117139</v>
      </c>
    </row>
    <row r="550" spans="1:10" ht="42.95" customHeight="1" x14ac:dyDescent="0.2">
      <c r="A550" s="278"/>
      <c r="B550" s="278"/>
      <c r="C550" s="263" t="s">
        <v>243</v>
      </c>
      <c r="D550" s="261" t="s">
        <v>84</v>
      </c>
      <c r="E550" s="264">
        <v>25</v>
      </c>
      <c r="F550" s="264">
        <v>9165</v>
      </c>
      <c r="G550" s="264">
        <v>229118</v>
      </c>
      <c r="H550" s="264">
        <v>2657</v>
      </c>
      <c r="I550" s="264">
        <v>66426</v>
      </c>
      <c r="J550" s="264">
        <v>162693</v>
      </c>
    </row>
    <row r="551" spans="1:10" ht="42.95" customHeight="1" x14ac:dyDescent="0.2">
      <c r="A551" s="278"/>
      <c r="B551" s="278"/>
      <c r="C551" s="277" t="s">
        <v>245</v>
      </c>
      <c r="D551" s="261" t="s">
        <v>92</v>
      </c>
      <c r="E551" s="264">
        <v>3</v>
      </c>
      <c r="F551" s="264">
        <v>31120</v>
      </c>
      <c r="G551" s="264">
        <v>93361</v>
      </c>
      <c r="H551" s="264">
        <v>1978</v>
      </c>
      <c r="I551" s="264">
        <v>5934</v>
      </c>
      <c r="J551" s="264">
        <v>87428</v>
      </c>
    </row>
    <row r="552" spans="1:10" ht="14.1" customHeight="1" x14ac:dyDescent="0.2">
      <c r="A552" s="278"/>
      <c r="B552" s="278"/>
      <c r="C552" s="278"/>
      <c r="D552" s="261" t="s">
        <v>84</v>
      </c>
      <c r="E552" s="264">
        <v>1097</v>
      </c>
      <c r="F552" s="264">
        <v>8486</v>
      </c>
      <c r="G552" s="264">
        <v>9308647</v>
      </c>
      <c r="H552" s="264">
        <v>1978</v>
      </c>
      <c r="I552" s="264">
        <v>2169693</v>
      </c>
      <c r="J552" s="264">
        <v>7138955</v>
      </c>
    </row>
    <row r="553" spans="1:10" ht="29.1" customHeight="1" x14ac:dyDescent="0.2">
      <c r="A553" s="277" t="s">
        <v>253</v>
      </c>
      <c r="B553" s="278" t="s">
        <v>60</v>
      </c>
      <c r="C553" s="278"/>
      <c r="D553" s="278"/>
      <c r="E553" s="264">
        <v>22695</v>
      </c>
      <c r="F553" s="264"/>
      <c r="G553" s="264">
        <v>352889372</v>
      </c>
      <c r="H553" s="264">
        <v>66830</v>
      </c>
      <c r="I553" s="264"/>
      <c r="J553" s="264">
        <v>316199875</v>
      </c>
    </row>
    <row r="554" spans="1:10" ht="14.1" customHeight="1" x14ac:dyDescent="0.2">
      <c r="A554" s="278"/>
      <c r="B554" s="261" t="s">
        <v>71</v>
      </c>
      <c r="C554" s="261" t="s">
        <v>72</v>
      </c>
      <c r="D554" s="261" t="s">
        <v>73</v>
      </c>
      <c r="E554" s="281">
        <v>65</v>
      </c>
      <c r="F554" s="281">
        <v>11382</v>
      </c>
      <c r="G554" s="281">
        <v>739860</v>
      </c>
      <c r="H554" s="281">
        <v>0</v>
      </c>
      <c r="I554" s="281">
        <v>0</v>
      </c>
      <c r="J554" s="281">
        <v>739860</v>
      </c>
    </row>
    <row r="555" spans="1:10" ht="14.1" customHeight="1" x14ac:dyDescent="0.2">
      <c r="A555" s="278"/>
      <c r="B555" s="279" t="s">
        <v>74</v>
      </c>
      <c r="C555" s="262" t="s">
        <v>75</v>
      </c>
      <c r="D555" s="261" t="s">
        <v>77</v>
      </c>
      <c r="E555" s="282"/>
      <c r="F555" s="282"/>
      <c r="G555" s="282"/>
      <c r="H555" s="282"/>
      <c r="I555" s="282"/>
      <c r="J555" s="282"/>
    </row>
    <row r="556" spans="1:10" ht="42.95" customHeight="1" x14ac:dyDescent="0.2">
      <c r="A556" s="278"/>
      <c r="B556" s="278"/>
      <c r="C556" s="263" t="s">
        <v>243</v>
      </c>
      <c r="D556" s="261" t="s">
        <v>79</v>
      </c>
      <c r="E556" s="264">
        <v>20</v>
      </c>
      <c r="F556" s="264">
        <v>12852</v>
      </c>
      <c r="G556" s="264">
        <v>257033</v>
      </c>
      <c r="H556" s="264">
        <v>2657</v>
      </c>
      <c r="I556" s="264">
        <v>53141</v>
      </c>
      <c r="J556" s="264">
        <v>203892</v>
      </c>
    </row>
    <row r="557" spans="1:10" ht="42.95" customHeight="1" x14ac:dyDescent="0.2">
      <c r="A557" s="278"/>
      <c r="B557" s="278"/>
      <c r="C557" s="263" t="s">
        <v>245</v>
      </c>
      <c r="D557" s="261" t="s">
        <v>79</v>
      </c>
      <c r="E557" s="264">
        <v>2158</v>
      </c>
      <c r="F557" s="264">
        <v>12172</v>
      </c>
      <c r="G557" s="264">
        <v>26268141</v>
      </c>
      <c r="H557" s="264">
        <v>1978</v>
      </c>
      <c r="I557" s="264">
        <v>4268183</v>
      </c>
      <c r="J557" s="264">
        <v>21999958</v>
      </c>
    </row>
    <row r="558" spans="1:10" ht="42.95" customHeight="1" x14ac:dyDescent="0.2">
      <c r="A558" s="278"/>
      <c r="B558" s="279" t="s">
        <v>89</v>
      </c>
      <c r="C558" s="277" t="s">
        <v>243</v>
      </c>
      <c r="D558" s="261" t="s">
        <v>84</v>
      </c>
      <c r="E558" s="264">
        <v>1</v>
      </c>
      <c r="F558" s="264">
        <v>9165</v>
      </c>
      <c r="G558" s="264">
        <v>9165</v>
      </c>
      <c r="H558" s="264">
        <v>2296</v>
      </c>
      <c r="I558" s="264">
        <v>2296</v>
      </c>
      <c r="J558" s="264">
        <v>6869</v>
      </c>
    </row>
    <row r="559" spans="1:10" ht="14.1" customHeight="1" x14ac:dyDescent="0.2">
      <c r="A559" s="278"/>
      <c r="B559" s="278"/>
      <c r="C559" s="278"/>
      <c r="D559" s="261" t="s">
        <v>105</v>
      </c>
      <c r="E559" s="264">
        <v>21</v>
      </c>
      <c r="F559" s="264">
        <v>9435</v>
      </c>
      <c r="G559" s="264">
        <v>198145</v>
      </c>
      <c r="H559" s="264">
        <v>2567</v>
      </c>
      <c r="I559" s="264">
        <v>53905</v>
      </c>
      <c r="J559" s="264">
        <v>144239</v>
      </c>
    </row>
    <row r="560" spans="1:10" ht="42.95" customHeight="1" x14ac:dyDescent="0.2">
      <c r="A560" s="278"/>
      <c r="B560" s="278"/>
      <c r="C560" s="277" t="s">
        <v>245</v>
      </c>
      <c r="D560" s="261" t="s">
        <v>94</v>
      </c>
      <c r="E560" s="264">
        <v>4</v>
      </c>
      <c r="F560" s="264">
        <v>0</v>
      </c>
      <c r="G560" s="264">
        <v>0</v>
      </c>
      <c r="H560" s="264">
        <v>0</v>
      </c>
      <c r="I560" s="264">
        <v>0</v>
      </c>
      <c r="J560" s="264">
        <v>0</v>
      </c>
    </row>
    <row r="561" spans="1:10" ht="14.1" customHeight="1" x14ac:dyDescent="0.2">
      <c r="A561" s="278"/>
      <c r="B561" s="278"/>
      <c r="C561" s="278"/>
      <c r="D561" s="261" t="s">
        <v>84</v>
      </c>
      <c r="E561" s="264">
        <v>3066</v>
      </c>
      <c r="F561" s="264">
        <v>8486</v>
      </c>
      <c r="G561" s="264">
        <v>26016694</v>
      </c>
      <c r="H561" s="264">
        <v>1617</v>
      </c>
      <c r="I561" s="264">
        <v>4957775</v>
      </c>
      <c r="J561" s="264">
        <v>21058918</v>
      </c>
    </row>
    <row r="562" spans="1:10" ht="14.1" customHeight="1" x14ac:dyDescent="0.2">
      <c r="A562" s="278"/>
      <c r="B562" s="278"/>
      <c r="C562" s="278"/>
      <c r="D562" s="261" t="s">
        <v>90</v>
      </c>
      <c r="E562" s="264">
        <v>1</v>
      </c>
      <c r="F562" s="264">
        <v>7696</v>
      </c>
      <c r="G562" s="264">
        <v>7696</v>
      </c>
      <c r="H562" s="264">
        <v>827</v>
      </c>
      <c r="I562" s="264">
        <v>827</v>
      </c>
      <c r="J562" s="264">
        <v>6869</v>
      </c>
    </row>
    <row r="563" spans="1:10" ht="14.1" customHeight="1" x14ac:dyDescent="0.2">
      <c r="A563" s="278"/>
      <c r="B563" s="278"/>
      <c r="C563" s="278"/>
      <c r="D563" s="261" t="s">
        <v>105</v>
      </c>
      <c r="E563" s="264">
        <v>314</v>
      </c>
      <c r="F563" s="264">
        <v>8756</v>
      </c>
      <c r="G563" s="264">
        <v>2749466</v>
      </c>
      <c r="H563" s="264">
        <v>1888</v>
      </c>
      <c r="I563" s="264">
        <v>592747</v>
      </c>
      <c r="J563" s="264">
        <v>2156719</v>
      </c>
    </row>
    <row r="564" spans="1:10" ht="14.1" customHeight="1" x14ac:dyDescent="0.2">
      <c r="A564" s="278"/>
      <c r="B564" s="279" t="s">
        <v>80</v>
      </c>
      <c r="C564" s="280" t="s">
        <v>75</v>
      </c>
      <c r="D564" s="261" t="s">
        <v>81</v>
      </c>
      <c r="E564" s="264">
        <v>4</v>
      </c>
      <c r="F564" s="264">
        <v>22977</v>
      </c>
      <c r="G564" s="264">
        <v>91907</v>
      </c>
      <c r="H564" s="264">
        <v>3812</v>
      </c>
      <c r="I564" s="264">
        <v>15246</v>
      </c>
      <c r="J564" s="264">
        <v>76660</v>
      </c>
    </row>
    <row r="565" spans="1:10" ht="14.1" customHeight="1" x14ac:dyDescent="0.2">
      <c r="A565" s="278"/>
      <c r="B565" s="278"/>
      <c r="C565" s="278"/>
      <c r="D565" s="261" t="s">
        <v>82</v>
      </c>
      <c r="E565" s="264">
        <v>138</v>
      </c>
      <c r="F565" s="264">
        <v>19789</v>
      </c>
      <c r="G565" s="264">
        <v>2730907</v>
      </c>
      <c r="H565" s="264">
        <v>3812</v>
      </c>
      <c r="I565" s="264">
        <v>525996</v>
      </c>
      <c r="J565" s="264">
        <v>2204910</v>
      </c>
    </row>
    <row r="566" spans="1:10" ht="42.95" customHeight="1" x14ac:dyDescent="0.2">
      <c r="A566" s="278"/>
      <c r="B566" s="277" t="s">
        <v>246</v>
      </c>
      <c r="C566" s="280" t="s">
        <v>75</v>
      </c>
      <c r="D566" s="261" t="s">
        <v>91</v>
      </c>
      <c r="E566" s="264">
        <v>2</v>
      </c>
      <c r="F566" s="264">
        <v>18108</v>
      </c>
      <c r="G566" s="264">
        <v>36216</v>
      </c>
      <c r="H566" s="264">
        <v>0</v>
      </c>
      <c r="I566" s="264">
        <v>0</v>
      </c>
      <c r="J566" s="264">
        <v>36216</v>
      </c>
    </row>
    <row r="567" spans="1:10" ht="14.1" customHeight="1" x14ac:dyDescent="0.2">
      <c r="A567" s="278"/>
      <c r="B567" s="278"/>
      <c r="C567" s="278"/>
      <c r="D567" s="261" t="s">
        <v>97</v>
      </c>
      <c r="E567" s="264">
        <v>8</v>
      </c>
      <c r="F567" s="264">
        <v>11317</v>
      </c>
      <c r="G567" s="264">
        <v>90536</v>
      </c>
      <c r="H567" s="264">
        <v>0</v>
      </c>
      <c r="I567" s="264">
        <v>0</v>
      </c>
      <c r="J567" s="264">
        <v>90536</v>
      </c>
    </row>
    <row r="568" spans="1:10" ht="14.1" customHeight="1" x14ac:dyDescent="0.2">
      <c r="A568" s="278"/>
      <c r="B568" s="278"/>
      <c r="C568" s="278"/>
      <c r="D568" s="261" t="s">
        <v>90</v>
      </c>
      <c r="E568" s="264">
        <v>39</v>
      </c>
      <c r="F568" s="264">
        <v>7696</v>
      </c>
      <c r="G568" s="264">
        <v>300127</v>
      </c>
      <c r="H568" s="264">
        <v>0</v>
      </c>
      <c r="I568" s="264">
        <v>0</v>
      </c>
      <c r="J568" s="264">
        <v>300127</v>
      </c>
    </row>
    <row r="569" spans="1:10" ht="14.1" customHeight="1" x14ac:dyDescent="0.2">
      <c r="A569" s="278"/>
      <c r="B569" s="278"/>
      <c r="C569" s="278"/>
      <c r="D569" s="261" t="s">
        <v>103</v>
      </c>
      <c r="E569" s="264">
        <v>1</v>
      </c>
      <c r="F569" s="264">
        <v>1359</v>
      </c>
      <c r="G569" s="264">
        <v>1359</v>
      </c>
      <c r="H569" s="264">
        <v>0</v>
      </c>
      <c r="I569" s="264">
        <v>0</v>
      </c>
      <c r="J569" s="264">
        <v>1359</v>
      </c>
    </row>
    <row r="570" spans="1:10" ht="14.1" customHeight="1" x14ac:dyDescent="0.2">
      <c r="A570" s="278"/>
      <c r="B570" s="278"/>
      <c r="C570" s="278"/>
      <c r="D570" s="261" t="s">
        <v>76</v>
      </c>
      <c r="E570" s="264">
        <v>117</v>
      </c>
      <c r="F570" s="264">
        <v>36385</v>
      </c>
      <c r="G570" s="264">
        <v>4257087</v>
      </c>
      <c r="H570" s="264">
        <v>0</v>
      </c>
      <c r="I570" s="264">
        <v>0</v>
      </c>
      <c r="J570" s="264">
        <v>4257087</v>
      </c>
    </row>
    <row r="571" spans="1:10" ht="14.1" customHeight="1" x14ac:dyDescent="0.2">
      <c r="A571" s="278"/>
      <c r="B571" s="278"/>
      <c r="C571" s="278"/>
      <c r="D571" s="261" t="s">
        <v>156</v>
      </c>
      <c r="E571" s="264">
        <v>1</v>
      </c>
      <c r="F571" s="264">
        <v>27212</v>
      </c>
      <c r="G571" s="264">
        <v>27212</v>
      </c>
      <c r="H571" s="264">
        <v>0</v>
      </c>
      <c r="I571" s="264">
        <v>0</v>
      </c>
      <c r="J571" s="264">
        <v>27212</v>
      </c>
    </row>
    <row r="572" spans="1:10" ht="14.1" customHeight="1" x14ac:dyDescent="0.2">
      <c r="A572" s="278"/>
      <c r="B572" s="278"/>
      <c r="C572" s="278"/>
      <c r="D572" s="261" t="s">
        <v>155</v>
      </c>
      <c r="E572" s="264">
        <v>4</v>
      </c>
      <c r="F572" s="264">
        <v>4362</v>
      </c>
      <c r="G572" s="264">
        <v>17449</v>
      </c>
      <c r="H572" s="264">
        <v>0</v>
      </c>
      <c r="I572" s="264">
        <v>0</v>
      </c>
      <c r="J572" s="264">
        <v>17449</v>
      </c>
    </row>
    <row r="573" spans="1:10" ht="14.1" customHeight="1" x14ac:dyDescent="0.2">
      <c r="A573" s="278"/>
      <c r="B573" s="278"/>
      <c r="C573" s="278"/>
      <c r="D573" s="261" t="s">
        <v>151</v>
      </c>
      <c r="E573" s="264">
        <v>2</v>
      </c>
      <c r="F573" s="264">
        <v>5752</v>
      </c>
      <c r="G573" s="264">
        <v>11505</v>
      </c>
      <c r="H573" s="264">
        <v>0</v>
      </c>
      <c r="I573" s="264">
        <v>0</v>
      </c>
      <c r="J573" s="264">
        <v>11505</v>
      </c>
    </row>
    <row r="574" spans="1:10" ht="42.95" customHeight="1" x14ac:dyDescent="0.2">
      <c r="A574" s="278"/>
      <c r="B574" s="278"/>
      <c r="C574" s="277" t="s">
        <v>243</v>
      </c>
      <c r="D574" s="261" t="s">
        <v>78</v>
      </c>
      <c r="E574" s="264">
        <v>2</v>
      </c>
      <c r="F574" s="264">
        <v>37855</v>
      </c>
      <c r="G574" s="264">
        <v>75709</v>
      </c>
      <c r="H574" s="264">
        <v>1469</v>
      </c>
      <c r="I574" s="264">
        <v>2938</v>
      </c>
      <c r="J574" s="264">
        <v>72771</v>
      </c>
    </row>
    <row r="575" spans="1:10" ht="14.1" customHeight="1" x14ac:dyDescent="0.2">
      <c r="A575" s="278"/>
      <c r="B575" s="278"/>
      <c r="C575" s="278"/>
      <c r="D575" s="261" t="s">
        <v>152</v>
      </c>
      <c r="E575" s="264">
        <v>2</v>
      </c>
      <c r="F575" s="264">
        <v>28681</v>
      </c>
      <c r="G575" s="264">
        <v>57362</v>
      </c>
      <c r="H575" s="264">
        <v>1469</v>
      </c>
      <c r="I575" s="264">
        <v>2938</v>
      </c>
      <c r="J575" s="264">
        <v>54424</v>
      </c>
    </row>
    <row r="576" spans="1:10" ht="14.1" customHeight="1" x14ac:dyDescent="0.2">
      <c r="A576" s="278"/>
      <c r="B576" s="278"/>
      <c r="C576" s="278"/>
      <c r="D576" s="261" t="s">
        <v>153</v>
      </c>
      <c r="E576" s="264">
        <v>3</v>
      </c>
      <c r="F576" s="264">
        <v>5831</v>
      </c>
      <c r="G576" s="264">
        <v>17494</v>
      </c>
      <c r="H576" s="264">
        <v>1469</v>
      </c>
      <c r="I576" s="264">
        <v>4408</v>
      </c>
      <c r="J576" s="264">
        <v>13087</v>
      </c>
    </row>
    <row r="577" spans="1:10" ht="42.95" customHeight="1" x14ac:dyDescent="0.2">
      <c r="A577" s="278"/>
      <c r="B577" s="278"/>
      <c r="C577" s="277" t="s">
        <v>245</v>
      </c>
      <c r="D577" s="261" t="s">
        <v>92</v>
      </c>
      <c r="E577" s="264">
        <v>235</v>
      </c>
      <c r="F577" s="264">
        <v>31120</v>
      </c>
      <c r="G577" s="264">
        <v>7313300</v>
      </c>
      <c r="H577" s="264">
        <v>790</v>
      </c>
      <c r="I577" s="264">
        <v>185645</v>
      </c>
      <c r="J577" s="264">
        <v>7127654</v>
      </c>
    </row>
    <row r="578" spans="1:10" ht="14.1" customHeight="1" x14ac:dyDescent="0.2">
      <c r="A578" s="278"/>
      <c r="B578" s="278"/>
      <c r="C578" s="278"/>
      <c r="D578" s="261" t="s">
        <v>86</v>
      </c>
      <c r="E578" s="264">
        <v>858</v>
      </c>
      <c r="F578" s="264">
        <v>18898</v>
      </c>
      <c r="G578" s="264">
        <v>16214382</v>
      </c>
      <c r="H578" s="264">
        <v>790</v>
      </c>
      <c r="I578" s="264">
        <v>677803</v>
      </c>
      <c r="J578" s="264">
        <v>15536578</v>
      </c>
    </row>
    <row r="579" spans="1:10" ht="14.1" customHeight="1" x14ac:dyDescent="0.2">
      <c r="A579" s="278"/>
      <c r="B579" s="278"/>
      <c r="C579" s="278"/>
      <c r="D579" s="261" t="s">
        <v>87</v>
      </c>
      <c r="E579" s="264">
        <v>254</v>
      </c>
      <c r="F579" s="264">
        <v>12107</v>
      </c>
      <c r="G579" s="264">
        <v>3075162</v>
      </c>
      <c r="H579" s="264">
        <v>790</v>
      </c>
      <c r="I579" s="264">
        <v>200655</v>
      </c>
      <c r="J579" s="264">
        <v>2874507</v>
      </c>
    </row>
    <row r="580" spans="1:10" ht="14.1" customHeight="1" x14ac:dyDescent="0.2">
      <c r="A580" s="278"/>
      <c r="B580" s="278"/>
      <c r="C580" s="278"/>
      <c r="D580" s="261" t="s">
        <v>84</v>
      </c>
      <c r="E580" s="264">
        <v>232</v>
      </c>
      <c r="F580" s="264">
        <v>8486</v>
      </c>
      <c r="G580" s="264">
        <v>1968647</v>
      </c>
      <c r="H580" s="264">
        <v>790</v>
      </c>
      <c r="I580" s="264">
        <v>183276</v>
      </c>
      <c r="J580" s="264">
        <v>1785372</v>
      </c>
    </row>
    <row r="581" spans="1:10" ht="14.1" customHeight="1" x14ac:dyDescent="0.2">
      <c r="A581" s="278"/>
      <c r="B581" s="278"/>
      <c r="C581" s="278"/>
      <c r="D581" s="261" t="s">
        <v>96</v>
      </c>
      <c r="E581" s="264">
        <v>11</v>
      </c>
      <c r="F581" s="264">
        <v>3507</v>
      </c>
      <c r="G581" s="264">
        <v>38574</v>
      </c>
      <c r="H581" s="264">
        <v>790</v>
      </c>
      <c r="I581" s="264">
        <v>8690</v>
      </c>
      <c r="J581" s="264">
        <v>29884</v>
      </c>
    </row>
    <row r="582" spans="1:10" ht="14.1" customHeight="1" x14ac:dyDescent="0.2">
      <c r="A582" s="278"/>
      <c r="B582" s="278"/>
      <c r="C582" s="278"/>
      <c r="D582" s="261" t="s">
        <v>88</v>
      </c>
      <c r="E582" s="264">
        <v>5</v>
      </c>
      <c r="F582" s="264">
        <v>2149</v>
      </c>
      <c r="G582" s="264">
        <v>10747</v>
      </c>
      <c r="H582" s="264">
        <v>790</v>
      </c>
      <c r="I582" s="264">
        <v>3950</v>
      </c>
      <c r="J582" s="264">
        <v>6797</v>
      </c>
    </row>
    <row r="583" spans="1:10" ht="14.1" customHeight="1" x14ac:dyDescent="0.2">
      <c r="A583" s="278"/>
      <c r="B583" s="278"/>
      <c r="C583" s="278"/>
      <c r="D583" s="261" t="s">
        <v>78</v>
      </c>
      <c r="E583" s="264">
        <v>3021</v>
      </c>
      <c r="F583" s="264">
        <v>37175</v>
      </c>
      <c r="G583" s="264">
        <v>112306694</v>
      </c>
      <c r="H583" s="264">
        <v>790</v>
      </c>
      <c r="I583" s="264">
        <v>2386532</v>
      </c>
      <c r="J583" s="264">
        <v>109920162</v>
      </c>
    </row>
    <row r="584" spans="1:10" ht="14.1" customHeight="1" x14ac:dyDescent="0.2">
      <c r="A584" s="278"/>
      <c r="B584" s="278"/>
      <c r="C584" s="278"/>
      <c r="D584" s="261" t="s">
        <v>152</v>
      </c>
      <c r="E584" s="264">
        <v>89</v>
      </c>
      <c r="F584" s="264">
        <v>28002</v>
      </c>
      <c r="G584" s="264">
        <v>2492171</v>
      </c>
      <c r="H584" s="264">
        <v>790</v>
      </c>
      <c r="I584" s="264">
        <v>70308</v>
      </c>
      <c r="J584" s="264">
        <v>2421863</v>
      </c>
    </row>
    <row r="585" spans="1:10" ht="14.1" customHeight="1" x14ac:dyDescent="0.2">
      <c r="A585" s="278"/>
      <c r="B585" s="278"/>
      <c r="C585" s="278"/>
      <c r="D585" s="261" t="s">
        <v>153</v>
      </c>
      <c r="E585" s="264">
        <v>627</v>
      </c>
      <c r="F585" s="264">
        <v>5152</v>
      </c>
      <c r="G585" s="264">
        <v>3230439</v>
      </c>
      <c r="H585" s="264">
        <v>790</v>
      </c>
      <c r="I585" s="264">
        <v>495318</v>
      </c>
      <c r="J585" s="264">
        <v>2735121</v>
      </c>
    </row>
    <row r="586" spans="1:10" ht="14.1" customHeight="1" x14ac:dyDescent="0.2">
      <c r="A586" s="278"/>
      <c r="B586" s="278"/>
      <c r="C586" s="278"/>
      <c r="D586" s="261" t="s">
        <v>154</v>
      </c>
      <c r="E586" s="264">
        <v>108</v>
      </c>
      <c r="F586" s="264">
        <v>6542</v>
      </c>
      <c r="G586" s="264">
        <v>706578</v>
      </c>
      <c r="H586" s="264">
        <v>790</v>
      </c>
      <c r="I586" s="264">
        <v>85318</v>
      </c>
      <c r="J586" s="264">
        <v>621260</v>
      </c>
    </row>
    <row r="587" spans="1:10" ht="29.1" customHeight="1" x14ac:dyDescent="0.2">
      <c r="A587" s="278"/>
      <c r="B587" s="277" t="s">
        <v>247</v>
      </c>
      <c r="C587" s="280" t="s">
        <v>75</v>
      </c>
      <c r="D587" s="261" t="s">
        <v>91</v>
      </c>
      <c r="E587" s="264">
        <v>8</v>
      </c>
      <c r="F587" s="264">
        <v>18108</v>
      </c>
      <c r="G587" s="264">
        <v>144863</v>
      </c>
      <c r="H587" s="264">
        <v>1188</v>
      </c>
      <c r="I587" s="264">
        <v>9503</v>
      </c>
      <c r="J587" s="264">
        <v>135360</v>
      </c>
    </row>
    <row r="588" spans="1:10" ht="14.1" customHeight="1" x14ac:dyDescent="0.2">
      <c r="A588" s="278"/>
      <c r="B588" s="278"/>
      <c r="C588" s="278"/>
      <c r="D588" s="261" t="s">
        <v>97</v>
      </c>
      <c r="E588" s="264">
        <v>6</v>
      </c>
      <c r="F588" s="264">
        <v>11317</v>
      </c>
      <c r="G588" s="264">
        <v>67902</v>
      </c>
      <c r="H588" s="264">
        <v>1188</v>
      </c>
      <c r="I588" s="264">
        <v>7127</v>
      </c>
      <c r="J588" s="264">
        <v>60775</v>
      </c>
    </row>
    <row r="589" spans="1:10" ht="14.1" customHeight="1" x14ac:dyDescent="0.2">
      <c r="A589" s="278"/>
      <c r="B589" s="278"/>
      <c r="C589" s="278"/>
      <c r="D589" s="261" t="s">
        <v>90</v>
      </c>
      <c r="E589" s="264">
        <v>550</v>
      </c>
      <c r="F589" s="264">
        <v>7696</v>
      </c>
      <c r="G589" s="264">
        <v>4232563</v>
      </c>
      <c r="H589" s="264">
        <v>1188</v>
      </c>
      <c r="I589" s="264">
        <v>653324</v>
      </c>
      <c r="J589" s="264">
        <v>3579239</v>
      </c>
    </row>
    <row r="590" spans="1:10" ht="14.1" customHeight="1" x14ac:dyDescent="0.2">
      <c r="A590" s="278"/>
      <c r="B590" s="278"/>
      <c r="C590" s="278"/>
      <c r="D590" s="261" t="s">
        <v>100</v>
      </c>
      <c r="E590" s="264">
        <v>2</v>
      </c>
      <c r="F590" s="264">
        <v>4981</v>
      </c>
      <c r="G590" s="264">
        <v>9961</v>
      </c>
      <c r="H590" s="264">
        <v>1188</v>
      </c>
      <c r="I590" s="264">
        <v>2376</v>
      </c>
      <c r="J590" s="264">
        <v>7586</v>
      </c>
    </row>
    <row r="591" spans="1:10" ht="14.1" customHeight="1" x14ac:dyDescent="0.2">
      <c r="A591" s="278"/>
      <c r="B591" s="278"/>
      <c r="C591" s="278"/>
      <c r="D591" s="261" t="s">
        <v>103</v>
      </c>
      <c r="E591" s="264">
        <v>1</v>
      </c>
      <c r="F591" s="264">
        <v>1359</v>
      </c>
      <c r="G591" s="264">
        <v>1359</v>
      </c>
      <c r="H591" s="264">
        <v>1188</v>
      </c>
      <c r="I591" s="264">
        <v>1188</v>
      </c>
      <c r="J591" s="264">
        <v>171</v>
      </c>
    </row>
    <row r="592" spans="1:10" ht="42.95" customHeight="1" x14ac:dyDescent="0.2">
      <c r="A592" s="278"/>
      <c r="B592" s="278"/>
      <c r="C592" s="277" t="s">
        <v>243</v>
      </c>
      <c r="D592" s="261" t="s">
        <v>92</v>
      </c>
      <c r="E592" s="264">
        <v>3</v>
      </c>
      <c r="F592" s="264">
        <v>31800</v>
      </c>
      <c r="G592" s="264">
        <v>95399</v>
      </c>
      <c r="H592" s="264">
        <v>2657</v>
      </c>
      <c r="I592" s="264">
        <v>7971</v>
      </c>
      <c r="J592" s="264">
        <v>87428</v>
      </c>
    </row>
    <row r="593" spans="1:10" ht="14.1" customHeight="1" x14ac:dyDescent="0.2">
      <c r="A593" s="278"/>
      <c r="B593" s="278"/>
      <c r="C593" s="278"/>
      <c r="D593" s="261" t="s">
        <v>86</v>
      </c>
      <c r="E593" s="264">
        <v>17</v>
      </c>
      <c r="F593" s="264">
        <v>19577</v>
      </c>
      <c r="G593" s="264">
        <v>332810</v>
      </c>
      <c r="H593" s="264">
        <v>2657</v>
      </c>
      <c r="I593" s="264">
        <v>45170</v>
      </c>
      <c r="J593" s="264">
        <v>287641</v>
      </c>
    </row>
    <row r="594" spans="1:10" ht="14.1" customHeight="1" x14ac:dyDescent="0.2">
      <c r="A594" s="278"/>
      <c r="B594" s="278"/>
      <c r="C594" s="278"/>
      <c r="D594" s="261" t="s">
        <v>87</v>
      </c>
      <c r="E594" s="264">
        <v>10</v>
      </c>
      <c r="F594" s="264">
        <v>12786</v>
      </c>
      <c r="G594" s="264">
        <v>127861</v>
      </c>
      <c r="H594" s="264">
        <v>2657</v>
      </c>
      <c r="I594" s="264">
        <v>26570</v>
      </c>
      <c r="J594" s="264">
        <v>101291</v>
      </c>
    </row>
    <row r="595" spans="1:10" ht="14.1" customHeight="1" x14ac:dyDescent="0.2">
      <c r="A595" s="278"/>
      <c r="B595" s="278"/>
      <c r="C595" s="278"/>
      <c r="D595" s="261" t="s">
        <v>84</v>
      </c>
      <c r="E595" s="264">
        <v>32</v>
      </c>
      <c r="F595" s="264">
        <v>9165</v>
      </c>
      <c r="G595" s="264">
        <v>293272</v>
      </c>
      <c r="H595" s="264">
        <v>2657</v>
      </c>
      <c r="I595" s="264">
        <v>85025</v>
      </c>
      <c r="J595" s="264">
        <v>208247</v>
      </c>
    </row>
    <row r="596" spans="1:10" ht="14.1" customHeight="1" x14ac:dyDescent="0.2">
      <c r="A596" s="278"/>
      <c r="B596" s="278"/>
      <c r="C596" s="278"/>
      <c r="D596" s="261" t="s">
        <v>88</v>
      </c>
      <c r="E596" s="264">
        <v>5</v>
      </c>
      <c r="F596" s="264">
        <v>2829</v>
      </c>
      <c r="G596" s="264">
        <v>14143</v>
      </c>
      <c r="H596" s="264">
        <v>2657</v>
      </c>
      <c r="I596" s="264">
        <v>13285</v>
      </c>
      <c r="J596" s="264">
        <v>857</v>
      </c>
    </row>
    <row r="597" spans="1:10" ht="42.95" customHeight="1" x14ac:dyDescent="0.2">
      <c r="A597" s="278"/>
      <c r="B597" s="278"/>
      <c r="C597" s="277" t="s">
        <v>245</v>
      </c>
      <c r="D597" s="261" t="s">
        <v>118</v>
      </c>
      <c r="E597" s="264">
        <v>1</v>
      </c>
      <c r="F597" s="264">
        <v>51490</v>
      </c>
      <c r="G597" s="264">
        <v>51490</v>
      </c>
      <c r="H597" s="264">
        <v>1978</v>
      </c>
      <c r="I597" s="264">
        <v>1978</v>
      </c>
      <c r="J597" s="264">
        <v>49513</v>
      </c>
    </row>
    <row r="598" spans="1:10" ht="14.1" customHeight="1" x14ac:dyDescent="0.2">
      <c r="A598" s="278"/>
      <c r="B598" s="278"/>
      <c r="C598" s="278"/>
      <c r="D598" s="261" t="s">
        <v>92</v>
      </c>
      <c r="E598" s="264">
        <v>458</v>
      </c>
      <c r="F598" s="264">
        <v>31120</v>
      </c>
      <c r="G598" s="264">
        <v>14253154</v>
      </c>
      <c r="H598" s="264">
        <v>1978</v>
      </c>
      <c r="I598" s="264">
        <v>905852</v>
      </c>
      <c r="J598" s="264">
        <v>13347303</v>
      </c>
    </row>
    <row r="599" spans="1:10" ht="14.1" customHeight="1" x14ac:dyDescent="0.2">
      <c r="A599" s="278"/>
      <c r="B599" s="278"/>
      <c r="C599" s="278"/>
      <c r="D599" s="261" t="s">
        <v>86</v>
      </c>
      <c r="E599" s="264">
        <v>2334</v>
      </c>
      <c r="F599" s="264">
        <v>18898</v>
      </c>
      <c r="G599" s="264">
        <v>44107653</v>
      </c>
      <c r="H599" s="264">
        <v>1978</v>
      </c>
      <c r="I599" s="264">
        <v>4616283</v>
      </c>
      <c r="J599" s="264">
        <v>39491370</v>
      </c>
    </row>
    <row r="600" spans="1:10" ht="14.1" customHeight="1" x14ac:dyDescent="0.2">
      <c r="A600" s="278"/>
      <c r="B600" s="278"/>
      <c r="C600" s="278"/>
      <c r="D600" s="261" t="s">
        <v>87</v>
      </c>
      <c r="E600" s="264">
        <v>3844</v>
      </c>
      <c r="F600" s="264">
        <v>12107</v>
      </c>
      <c r="G600" s="264">
        <v>46539064</v>
      </c>
      <c r="H600" s="264">
        <v>1978</v>
      </c>
      <c r="I600" s="264">
        <v>7602825</v>
      </c>
      <c r="J600" s="264">
        <v>38936239</v>
      </c>
    </row>
    <row r="601" spans="1:10" ht="14.1" customHeight="1" x14ac:dyDescent="0.2">
      <c r="A601" s="278"/>
      <c r="B601" s="278"/>
      <c r="C601" s="278"/>
      <c r="D601" s="261" t="s">
        <v>84</v>
      </c>
      <c r="E601" s="264">
        <v>3565</v>
      </c>
      <c r="F601" s="264">
        <v>8486</v>
      </c>
      <c r="G601" s="264">
        <v>30250983</v>
      </c>
      <c r="H601" s="264">
        <v>1978</v>
      </c>
      <c r="I601" s="264">
        <v>7051007</v>
      </c>
      <c r="J601" s="264">
        <v>23199976</v>
      </c>
    </row>
    <row r="602" spans="1:10" ht="14.1" customHeight="1" x14ac:dyDescent="0.2">
      <c r="A602" s="278"/>
      <c r="B602" s="278"/>
      <c r="C602" s="278"/>
      <c r="D602" s="261" t="s">
        <v>85</v>
      </c>
      <c r="E602" s="264">
        <v>25</v>
      </c>
      <c r="F602" s="264">
        <v>5771</v>
      </c>
      <c r="G602" s="264">
        <v>144268</v>
      </c>
      <c r="H602" s="264">
        <v>1978</v>
      </c>
      <c r="I602" s="264">
        <v>49446</v>
      </c>
      <c r="J602" s="264">
        <v>94822</v>
      </c>
    </row>
    <row r="603" spans="1:10" ht="14.1" customHeight="1" x14ac:dyDescent="0.2">
      <c r="A603" s="278"/>
      <c r="B603" s="278"/>
      <c r="C603" s="278"/>
      <c r="D603" s="261" t="s">
        <v>88</v>
      </c>
      <c r="E603" s="264">
        <v>421</v>
      </c>
      <c r="F603" s="264">
        <v>2149</v>
      </c>
      <c r="G603" s="264">
        <v>904866</v>
      </c>
      <c r="H603" s="264">
        <v>1978</v>
      </c>
      <c r="I603" s="264">
        <v>832671</v>
      </c>
      <c r="J603" s="264">
        <v>72195</v>
      </c>
    </row>
    <row r="604" spans="1:10" ht="29.1" customHeight="1" x14ac:dyDescent="0.2">
      <c r="A604" s="277" t="s">
        <v>254</v>
      </c>
      <c r="B604" s="278" t="s">
        <v>60</v>
      </c>
      <c r="C604" s="278"/>
      <c r="D604" s="278"/>
      <c r="E604" s="264">
        <v>1</v>
      </c>
      <c r="F604" s="264"/>
      <c r="G604" s="264">
        <v>3507</v>
      </c>
      <c r="H604" s="264">
        <v>790</v>
      </c>
      <c r="I604" s="264"/>
      <c r="J604" s="264">
        <v>2717</v>
      </c>
    </row>
    <row r="605" spans="1:10" ht="14.1" customHeight="1" x14ac:dyDescent="0.2">
      <c r="A605" s="278"/>
      <c r="B605" s="261" t="s">
        <v>71</v>
      </c>
      <c r="C605" s="261" t="s">
        <v>72</v>
      </c>
      <c r="D605" s="261" t="s">
        <v>73</v>
      </c>
      <c r="E605" s="281">
        <v>1</v>
      </c>
      <c r="F605" s="281">
        <v>3507</v>
      </c>
      <c r="G605" s="281">
        <v>3507</v>
      </c>
      <c r="H605" s="281">
        <v>790</v>
      </c>
      <c r="I605" s="281">
        <v>790</v>
      </c>
      <c r="J605" s="281">
        <v>2717</v>
      </c>
    </row>
    <row r="606" spans="1:10" ht="42.95" customHeight="1" x14ac:dyDescent="0.2">
      <c r="A606" s="278"/>
      <c r="B606" s="263" t="s">
        <v>246</v>
      </c>
      <c r="C606" s="263" t="s">
        <v>245</v>
      </c>
      <c r="D606" s="261" t="s">
        <v>96</v>
      </c>
      <c r="E606" s="282"/>
      <c r="F606" s="282"/>
      <c r="G606" s="282"/>
      <c r="H606" s="282"/>
      <c r="I606" s="282"/>
      <c r="J606" s="282"/>
    </row>
    <row r="607" spans="1:10" ht="29.1" customHeight="1" x14ac:dyDescent="0.2">
      <c r="A607" s="277" t="s">
        <v>259</v>
      </c>
      <c r="B607" s="278" t="s">
        <v>60</v>
      </c>
      <c r="C607" s="278"/>
      <c r="D607" s="278"/>
      <c r="E607" s="264">
        <v>51862</v>
      </c>
      <c r="F607" s="264"/>
      <c r="G607" s="264">
        <v>737780755</v>
      </c>
      <c r="H607" s="264">
        <v>93335</v>
      </c>
      <c r="I607" s="264"/>
      <c r="J607" s="264">
        <v>658593308</v>
      </c>
    </row>
    <row r="608" spans="1:10" ht="14.1" customHeight="1" x14ac:dyDescent="0.2">
      <c r="A608" s="278"/>
      <c r="B608" s="261" t="s">
        <v>71</v>
      </c>
      <c r="C608" s="261" t="s">
        <v>72</v>
      </c>
      <c r="D608" s="261" t="s">
        <v>73</v>
      </c>
      <c r="E608" s="281">
        <v>49</v>
      </c>
      <c r="F608" s="281">
        <v>11382</v>
      </c>
      <c r="G608" s="281">
        <v>557741</v>
      </c>
      <c r="H608" s="281">
        <v>0</v>
      </c>
      <c r="I608" s="281">
        <v>0</v>
      </c>
      <c r="J608" s="281">
        <v>557741</v>
      </c>
    </row>
    <row r="609" spans="1:10" ht="14.1" customHeight="1" x14ac:dyDescent="0.2">
      <c r="A609" s="278"/>
      <c r="B609" s="279" t="s">
        <v>74</v>
      </c>
      <c r="C609" s="262" t="s">
        <v>75</v>
      </c>
      <c r="D609" s="261" t="s">
        <v>77</v>
      </c>
      <c r="E609" s="282"/>
      <c r="F609" s="282"/>
      <c r="G609" s="282"/>
      <c r="H609" s="282"/>
      <c r="I609" s="282"/>
      <c r="J609" s="282"/>
    </row>
    <row r="610" spans="1:10" ht="42.95" customHeight="1" x14ac:dyDescent="0.2">
      <c r="A610" s="278"/>
      <c r="B610" s="278"/>
      <c r="C610" s="263" t="s">
        <v>243</v>
      </c>
      <c r="D610" s="261" t="s">
        <v>79</v>
      </c>
      <c r="E610" s="264">
        <v>9</v>
      </c>
      <c r="F610" s="264">
        <v>12852</v>
      </c>
      <c r="G610" s="264">
        <v>115665</v>
      </c>
      <c r="H610" s="264">
        <v>2657</v>
      </c>
      <c r="I610" s="264">
        <v>23913</v>
      </c>
      <c r="J610" s="264">
        <v>91751</v>
      </c>
    </row>
    <row r="611" spans="1:10" ht="42.95" customHeight="1" x14ac:dyDescent="0.2">
      <c r="A611" s="278"/>
      <c r="B611" s="278"/>
      <c r="C611" s="263" t="s">
        <v>244</v>
      </c>
      <c r="D611" s="261" t="s">
        <v>79</v>
      </c>
      <c r="E611" s="264">
        <v>46</v>
      </c>
      <c r="F611" s="264">
        <v>12575</v>
      </c>
      <c r="G611" s="264">
        <v>578458</v>
      </c>
      <c r="H611" s="264">
        <v>2430</v>
      </c>
      <c r="I611" s="264">
        <v>111765</v>
      </c>
      <c r="J611" s="264">
        <v>466693</v>
      </c>
    </row>
    <row r="612" spans="1:10" ht="42.95" customHeight="1" x14ac:dyDescent="0.2">
      <c r="A612" s="278"/>
      <c r="B612" s="278"/>
      <c r="C612" s="263" t="s">
        <v>245</v>
      </c>
      <c r="D612" s="261" t="s">
        <v>79</v>
      </c>
      <c r="E612" s="264">
        <v>5297</v>
      </c>
      <c r="F612" s="264">
        <v>12172</v>
      </c>
      <c r="G612" s="264">
        <v>64477452</v>
      </c>
      <c r="H612" s="264">
        <v>1978</v>
      </c>
      <c r="I612" s="264">
        <v>10476629</v>
      </c>
      <c r="J612" s="264">
        <v>54000823</v>
      </c>
    </row>
    <row r="613" spans="1:10" ht="14.1" customHeight="1" x14ac:dyDescent="0.2">
      <c r="A613" s="278"/>
      <c r="B613" s="279" t="s">
        <v>80</v>
      </c>
      <c r="C613" s="280" t="s">
        <v>75</v>
      </c>
      <c r="D613" s="261" t="s">
        <v>81</v>
      </c>
      <c r="E613" s="264">
        <v>806</v>
      </c>
      <c r="F613" s="264">
        <v>22977</v>
      </c>
      <c r="G613" s="264">
        <v>18519203</v>
      </c>
      <c r="H613" s="264">
        <v>3812</v>
      </c>
      <c r="I613" s="264">
        <v>3072123</v>
      </c>
      <c r="J613" s="264">
        <v>15447080</v>
      </c>
    </row>
    <row r="614" spans="1:10" ht="14.1" customHeight="1" x14ac:dyDescent="0.2">
      <c r="A614" s="278"/>
      <c r="B614" s="278"/>
      <c r="C614" s="278"/>
      <c r="D614" s="261" t="s">
        <v>82</v>
      </c>
      <c r="E614" s="264">
        <v>2042</v>
      </c>
      <c r="F614" s="264">
        <v>19789</v>
      </c>
      <c r="G614" s="264">
        <v>40409504</v>
      </c>
      <c r="H614" s="264">
        <v>3812</v>
      </c>
      <c r="I614" s="264">
        <v>7783220</v>
      </c>
      <c r="J614" s="264">
        <v>32626284</v>
      </c>
    </row>
    <row r="615" spans="1:10" ht="42.95" customHeight="1" x14ac:dyDescent="0.2">
      <c r="A615" s="278"/>
      <c r="B615" s="277" t="s">
        <v>246</v>
      </c>
      <c r="C615" s="280" t="s">
        <v>75</v>
      </c>
      <c r="D615" s="261" t="s">
        <v>99</v>
      </c>
      <c r="E615" s="264">
        <v>5</v>
      </c>
      <c r="F615" s="264">
        <v>30330</v>
      </c>
      <c r="G615" s="264">
        <v>151652</v>
      </c>
      <c r="H615" s="264">
        <v>0</v>
      </c>
      <c r="I615" s="264">
        <v>0</v>
      </c>
      <c r="J615" s="264">
        <v>151652</v>
      </c>
    </row>
    <row r="616" spans="1:10" ht="14.1" customHeight="1" x14ac:dyDescent="0.2">
      <c r="A616" s="278"/>
      <c r="B616" s="278"/>
      <c r="C616" s="278"/>
      <c r="D616" s="261" t="s">
        <v>91</v>
      </c>
      <c r="E616" s="264">
        <v>93</v>
      </c>
      <c r="F616" s="264">
        <v>18108</v>
      </c>
      <c r="G616" s="264">
        <v>1684035</v>
      </c>
      <c r="H616" s="264">
        <v>0</v>
      </c>
      <c r="I616" s="264">
        <v>0</v>
      </c>
      <c r="J616" s="264">
        <v>1684035</v>
      </c>
    </row>
    <row r="617" spans="1:10" ht="14.1" customHeight="1" x14ac:dyDescent="0.2">
      <c r="A617" s="278"/>
      <c r="B617" s="278"/>
      <c r="C617" s="278"/>
      <c r="D617" s="261" t="s">
        <v>97</v>
      </c>
      <c r="E617" s="264">
        <v>16</v>
      </c>
      <c r="F617" s="264">
        <v>11317</v>
      </c>
      <c r="G617" s="264">
        <v>181071</v>
      </c>
      <c r="H617" s="264">
        <v>0</v>
      </c>
      <c r="I617" s="264">
        <v>0</v>
      </c>
      <c r="J617" s="264">
        <v>181071</v>
      </c>
    </row>
    <row r="618" spans="1:10" ht="14.1" customHeight="1" x14ac:dyDescent="0.2">
      <c r="A618" s="278"/>
      <c r="B618" s="278"/>
      <c r="C618" s="278"/>
      <c r="D618" s="261" t="s">
        <v>90</v>
      </c>
      <c r="E618" s="264">
        <v>20</v>
      </c>
      <c r="F618" s="264">
        <v>7696</v>
      </c>
      <c r="G618" s="264">
        <v>153911</v>
      </c>
      <c r="H618" s="264">
        <v>0</v>
      </c>
      <c r="I618" s="264">
        <v>0</v>
      </c>
      <c r="J618" s="264">
        <v>153911</v>
      </c>
    </row>
    <row r="619" spans="1:10" ht="14.1" customHeight="1" x14ac:dyDescent="0.2">
      <c r="A619" s="278"/>
      <c r="B619" s="278"/>
      <c r="C619" s="278"/>
      <c r="D619" s="261" t="s">
        <v>100</v>
      </c>
      <c r="E619" s="264">
        <v>1</v>
      </c>
      <c r="F619" s="264">
        <v>4981</v>
      </c>
      <c r="G619" s="264">
        <v>4981</v>
      </c>
      <c r="H619" s="264">
        <v>0</v>
      </c>
      <c r="I619" s="264">
        <v>0</v>
      </c>
      <c r="J619" s="264">
        <v>4981</v>
      </c>
    </row>
    <row r="620" spans="1:10" ht="14.1" customHeight="1" x14ac:dyDescent="0.2">
      <c r="A620" s="278"/>
      <c r="B620" s="278"/>
      <c r="C620" s="278"/>
      <c r="D620" s="261" t="s">
        <v>98</v>
      </c>
      <c r="E620" s="264">
        <v>7</v>
      </c>
      <c r="F620" s="264">
        <v>2717</v>
      </c>
      <c r="G620" s="264">
        <v>19017</v>
      </c>
      <c r="H620" s="264">
        <v>0</v>
      </c>
      <c r="I620" s="264">
        <v>0</v>
      </c>
      <c r="J620" s="264">
        <v>19017</v>
      </c>
    </row>
    <row r="621" spans="1:10" ht="14.1" customHeight="1" x14ac:dyDescent="0.2">
      <c r="A621" s="278"/>
      <c r="B621" s="278"/>
      <c r="C621" s="278"/>
      <c r="D621" s="261" t="s">
        <v>76</v>
      </c>
      <c r="E621" s="264">
        <v>197</v>
      </c>
      <c r="F621" s="264">
        <v>36385</v>
      </c>
      <c r="G621" s="264">
        <v>7167915</v>
      </c>
      <c r="H621" s="264">
        <v>0</v>
      </c>
      <c r="I621" s="264">
        <v>0</v>
      </c>
      <c r="J621" s="264">
        <v>7167915</v>
      </c>
    </row>
    <row r="622" spans="1:10" ht="14.1" customHeight="1" x14ac:dyDescent="0.2">
      <c r="A622" s="278"/>
      <c r="B622" s="278"/>
      <c r="C622" s="278"/>
      <c r="D622" s="261" t="s">
        <v>156</v>
      </c>
      <c r="E622" s="264">
        <v>2</v>
      </c>
      <c r="F622" s="264">
        <v>27212</v>
      </c>
      <c r="G622" s="264">
        <v>54424</v>
      </c>
      <c r="H622" s="264">
        <v>0</v>
      </c>
      <c r="I622" s="264">
        <v>0</v>
      </c>
      <c r="J622" s="264">
        <v>54424</v>
      </c>
    </row>
    <row r="623" spans="1:10" ht="14.1" customHeight="1" x14ac:dyDescent="0.2">
      <c r="A623" s="278"/>
      <c r="B623" s="278"/>
      <c r="C623" s="278"/>
      <c r="D623" s="261" t="s">
        <v>155</v>
      </c>
      <c r="E623" s="264">
        <v>7</v>
      </c>
      <c r="F623" s="264">
        <v>4362</v>
      </c>
      <c r="G623" s="264">
        <v>30536</v>
      </c>
      <c r="H623" s="264">
        <v>0</v>
      </c>
      <c r="I623" s="264">
        <v>0</v>
      </c>
      <c r="J623" s="264">
        <v>30536</v>
      </c>
    </row>
    <row r="624" spans="1:10" ht="14.1" customHeight="1" x14ac:dyDescent="0.2">
      <c r="A624" s="278"/>
      <c r="B624" s="278"/>
      <c r="C624" s="278"/>
      <c r="D624" s="261" t="s">
        <v>151</v>
      </c>
      <c r="E624" s="264">
        <v>205</v>
      </c>
      <c r="F624" s="264">
        <v>5752</v>
      </c>
      <c r="G624" s="264">
        <v>1179244</v>
      </c>
      <c r="H624" s="264">
        <v>0</v>
      </c>
      <c r="I624" s="264">
        <v>0</v>
      </c>
      <c r="J624" s="264">
        <v>1179244</v>
      </c>
    </row>
    <row r="625" spans="1:10" ht="42.95" customHeight="1" x14ac:dyDescent="0.2">
      <c r="A625" s="278"/>
      <c r="B625" s="278"/>
      <c r="C625" s="277" t="s">
        <v>243</v>
      </c>
      <c r="D625" s="261" t="s">
        <v>83</v>
      </c>
      <c r="E625" s="264">
        <v>50</v>
      </c>
      <c r="F625" s="264">
        <v>3452</v>
      </c>
      <c r="G625" s="264">
        <v>172592</v>
      </c>
      <c r="H625" s="264">
        <v>1469</v>
      </c>
      <c r="I625" s="264">
        <v>73459</v>
      </c>
      <c r="J625" s="264">
        <v>99133</v>
      </c>
    </row>
    <row r="626" spans="1:10" ht="14.1" customHeight="1" x14ac:dyDescent="0.2">
      <c r="A626" s="278"/>
      <c r="B626" s="278"/>
      <c r="C626" s="278"/>
      <c r="D626" s="261" t="s">
        <v>92</v>
      </c>
      <c r="E626" s="264">
        <v>1</v>
      </c>
      <c r="F626" s="264">
        <v>31800</v>
      </c>
      <c r="G626" s="264">
        <v>31800</v>
      </c>
      <c r="H626" s="264">
        <v>1469</v>
      </c>
      <c r="I626" s="264">
        <v>1469</v>
      </c>
      <c r="J626" s="264">
        <v>30330</v>
      </c>
    </row>
    <row r="627" spans="1:10" ht="14.1" customHeight="1" x14ac:dyDescent="0.2">
      <c r="A627" s="278"/>
      <c r="B627" s="278"/>
      <c r="C627" s="278"/>
      <c r="D627" s="261" t="s">
        <v>86</v>
      </c>
      <c r="E627" s="264">
        <v>44</v>
      </c>
      <c r="F627" s="264">
        <v>19577</v>
      </c>
      <c r="G627" s="264">
        <v>861391</v>
      </c>
      <c r="H627" s="264">
        <v>1469</v>
      </c>
      <c r="I627" s="264">
        <v>64644</v>
      </c>
      <c r="J627" s="264">
        <v>796748</v>
      </c>
    </row>
    <row r="628" spans="1:10" ht="14.1" customHeight="1" x14ac:dyDescent="0.2">
      <c r="A628" s="278"/>
      <c r="B628" s="278"/>
      <c r="C628" s="278"/>
      <c r="D628" s="261" t="s">
        <v>87</v>
      </c>
      <c r="E628" s="264">
        <v>19</v>
      </c>
      <c r="F628" s="264">
        <v>12786</v>
      </c>
      <c r="G628" s="264">
        <v>242936</v>
      </c>
      <c r="H628" s="264">
        <v>1469</v>
      </c>
      <c r="I628" s="264">
        <v>27914</v>
      </c>
      <c r="J628" s="264">
        <v>215022</v>
      </c>
    </row>
    <row r="629" spans="1:10" ht="14.1" customHeight="1" x14ac:dyDescent="0.2">
      <c r="A629" s="278"/>
      <c r="B629" s="278"/>
      <c r="C629" s="278"/>
      <c r="D629" s="261" t="s">
        <v>84</v>
      </c>
      <c r="E629" s="264">
        <v>29</v>
      </c>
      <c r="F629" s="264">
        <v>9165</v>
      </c>
      <c r="G629" s="264">
        <v>265777</v>
      </c>
      <c r="H629" s="264">
        <v>1469</v>
      </c>
      <c r="I629" s="264">
        <v>42606</v>
      </c>
      <c r="J629" s="264">
        <v>223171</v>
      </c>
    </row>
    <row r="630" spans="1:10" ht="14.1" customHeight="1" x14ac:dyDescent="0.2">
      <c r="A630" s="278"/>
      <c r="B630" s="278"/>
      <c r="C630" s="278"/>
      <c r="D630" s="261" t="s">
        <v>85</v>
      </c>
      <c r="E630" s="264">
        <v>3</v>
      </c>
      <c r="F630" s="264">
        <v>6450</v>
      </c>
      <c r="G630" s="264">
        <v>19350</v>
      </c>
      <c r="H630" s="264">
        <v>1469</v>
      </c>
      <c r="I630" s="264">
        <v>4408</v>
      </c>
      <c r="J630" s="264">
        <v>14942</v>
      </c>
    </row>
    <row r="631" spans="1:10" ht="14.1" customHeight="1" x14ac:dyDescent="0.2">
      <c r="A631" s="278"/>
      <c r="B631" s="278"/>
      <c r="C631" s="278"/>
      <c r="D631" s="261" t="s">
        <v>96</v>
      </c>
      <c r="E631" s="264">
        <v>1</v>
      </c>
      <c r="F631" s="264">
        <v>4186</v>
      </c>
      <c r="G631" s="264">
        <v>4186</v>
      </c>
      <c r="H631" s="264">
        <v>1469</v>
      </c>
      <c r="I631" s="264">
        <v>1469</v>
      </c>
      <c r="J631" s="264">
        <v>2717</v>
      </c>
    </row>
    <row r="632" spans="1:10" ht="14.1" customHeight="1" x14ac:dyDescent="0.2">
      <c r="A632" s="278"/>
      <c r="B632" s="278"/>
      <c r="C632" s="278"/>
      <c r="D632" s="261" t="s">
        <v>78</v>
      </c>
      <c r="E632" s="264">
        <v>30</v>
      </c>
      <c r="F632" s="264">
        <v>37855</v>
      </c>
      <c r="G632" s="264">
        <v>1135636</v>
      </c>
      <c r="H632" s="264">
        <v>1469</v>
      </c>
      <c r="I632" s="264">
        <v>44075</v>
      </c>
      <c r="J632" s="264">
        <v>1091561</v>
      </c>
    </row>
    <row r="633" spans="1:10" ht="14.1" customHeight="1" x14ac:dyDescent="0.2">
      <c r="A633" s="278"/>
      <c r="B633" s="278"/>
      <c r="C633" s="278"/>
      <c r="D633" s="261" t="s">
        <v>152</v>
      </c>
      <c r="E633" s="264">
        <v>3</v>
      </c>
      <c r="F633" s="264">
        <v>28681</v>
      </c>
      <c r="G633" s="264">
        <v>86043</v>
      </c>
      <c r="H633" s="264">
        <v>1469</v>
      </c>
      <c r="I633" s="264">
        <v>4408</v>
      </c>
      <c r="J633" s="264">
        <v>81636</v>
      </c>
    </row>
    <row r="634" spans="1:10" ht="14.1" customHeight="1" x14ac:dyDescent="0.2">
      <c r="A634" s="278"/>
      <c r="B634" s="278"/>
      <c r="C634" s="278"/>
      <c r="D634" s="261" t="s">
        <v>153</v>
      </c>
      <c r="E634" s="264">
        <v>59</v>
      </c>
      <c r="F634" s="264">
        <v>5831</v>
      </c>
      <c r="G634" s="264">
        <v>344053</v>
      </c>
      <c r="H634" s="264">
        <v>1469</v>
      </c>
      <c r="I634" s="264">
        <v>86681</v>
      </c>
      <c r="J634" s="264">
        <v>257372</v>
      </c>
    </row>
    <row r="635" spans="1:10" ht="14.1" customHeight="1" x14ac:dyDescent="0.2">
      <c r="A635" s="278"/>
      <c r="B635" s="278"/>
      <c r="C635" s="278"/>
      <c r="D635" s="261" t="s">
        <v>154</v>
      </c>
      <c r="E635" s="264">
        <v>17</v>
      </c>
      <c r="F635" s="264">
        <v>7222</v>
      </c>
      <c r="G635" s="264">
        <v>122767</v>
      </c>
      <c r="H635" s="264">
        <v>1469</v>
      </c>
      <c r="I635" s="264">
        <v>24976</v>
      </c>
      <c r="J635" s="264">
        <v>97791</v>
      </c>
    </row>
    <row r="636" spans="1:10" ht="42.95" customHeight="1" x14ac:dyDescent="0.2">
      <c r="A636" s="278"/>
      <c r="B636" s="278"/>
      <c r="C636" s="277" t="s">
        <v>244</v>
      </c>
      <c r="D636" s="261" t="s">
        <v>83</v>
      </c>
      <c r="E636" s="264">
        <v>30</v>
      </c>
      <c r="F636" s="264">
        <v>3224</v>
      </c>
      <c r="G636" s="264">
        <v>96734</v>
      </c>
      <c r="H636" s="264">
        <v>1242</v>
      </c>
      <c r="I636" s="264">
        <v>37254</v>
      </c>
      <c r="J636" s="264">
        <v>59480</v>
      </c>
    </row>
    <row r="637" spans="1:10" ht="14.1" customHeight="1" x14ac:dyDescent="0.2">
      <c r="A637" s="278"/>
      <c r="B637" s="278"/>
      <c r="C637" s="278"/>
      <c r="D637" s="261" t="s">
        <v>92</v>
      </c>
      <c r="E637" s="264">
        <v>74</v>
      </c>
      <c r="F637" s="264">
        <v>31401</v>
      </c>
      <c r="G637" s="264">
        <v>2323696</v>
      </c>
      <c r="H637" s="264">
        <v>1242</v>
      </c>
      <c r="I637" s="264">
        <v>91894</v>
      </c>
      <c r="J637" s="264">
        <v>2231802</v>
      </c>
    </row>
    <row r="638" spans="1:10" ht="14.1" customHeight="1" x14ac:dyDescent="0.2">
      <c r="A638" s="278"/>
      <c r="B638" s="278"/>
      <c r="C638" s="278"/>
      <c r="D638" s="261" t="s">
        <v>86</v>
      </c>
      <c r="E638" s="264">
        <v>41</v>
      </c>
      <c r="F638" s="264">
        <v>19262</v>
      </c>
      <c r="G638" s="264">
        <v>789724</v>
      </c>
      <c r="H638" s="264">
        <v>1242</v>
      </c>
      <c r="I638" s="264">
        <v>50914</v>
      </c>
      <c r="J638" s="264">
        <v>738809</v>
      </c>
    </row>
    <row r="639" spans="1:10" ht="14.1" customHeight="1" x14ac:dyDescent="0.2">
      <c r="A639" s="278"/>
      <c r="B639" s="278"/>
      <c r="C639" s="278"/>
      <c r="D639" s="261" t="s">
        <v>84</v>
      </c>
      <c r="E639" s="264">
        <v>30</v>
      </c>
      <c r="F639" s="264">
        <v>8847</v>
      </c>
      <c r="G639" s="264">
        <v>265410</v>
      </c>
      <c r="H639" s="264">
        <v>1242</v>
      </c>
      <c r="I639" s="264">
        <v>37254</v>
      </c>
      <c r="J639" s="264">
        <v>228156</v>
      </c>
    </row>
    <row r="640" spans="1:10" ht="14.1" customHeight="1" x14ac:dyDescent="0.2">
      <c r="A640" s="278"/>
      <c r="B640" s="278"/>
      <c r="C640" s="278"/>
      <c r="D640" s="261" t="s">
        <v>88</v>
      </c>
      <c r="E640" s="264">
        <v>9</v>
      </c>
      <c r="F640" s="264">
        <v>2601</v>
      </c>
      <c r="G640" s="264">
        <v>23410</v>
      </c>
      <c r="H640" s="264">
        <v>1242</v>
      </c>
      <c r="I640" s="264">
        <v>11176</v>
      </c>
      <c r="J640" s="264">
        <v>12234</v>
      </c>
    </row>
    <row r="641" spans="1:10" ht="14.1" customHeight="1" x14ac:dyDescent="0.2">
      <c r="A641" s="278"/>
      <c r="B641" s="278"/>
      <c r="C641" s="278"/>
      <c r="D641" s="261" t="s">
        <v>78</v>
      </c>
      <c r="E641" s="264">
        <v>2</v>
      </c>
      <c r="F641" s="264">
        <v>37175</v>
      </c>
      <c r="G641" s="264">
        <v>74351</v>
      </c>
      <c r="H641" s="264">
        <v>1242</v>
      </c>
      <c r="I641" s="264">
        <v>2484</v>
      </c>
      <c r="J641" s="264">
        <v>71867</v>
      </c>
    </row>
    <row r="642" spans="1:10" ht="14.1" customHeight="1" x14ac:dyDescent="0.2">
      <c r="A642" s="278"/>
      <c r="B642" s="278"/>
      <c r="C642" s="278"/>
      <c r="D642" s="261" t="s">
        <v>153</v>
      </c>
      <c r="E642" s="264">
        <v>24</v>
      </c>
      <c r="F642" s="264">
        <v>5585</v>
      </c>
      <c r="G642" s="264">
        <v>134045</v>
      </c>
      <c r="H642" s="264">
        <v>1242</v>
      </c>
      <c r="I642" s="264">
        <v>29803</v>
      </c>
      <c r="J642" s="264">
        <v>104242</v>
      </c>
    </row>
    <row r="643" spans="1:10" ht="14.1" customHeight="1" x14ac:dyDescent="0.2">
      <c r="A643" s="278"/>
      <c r="B643" s="278"/>
      <c r="C643" s="278"/>
      <c r="D643" s="261" t="s">
        <v>154</v>
      </c>
      <c r="E643" s="264">
        <v>34</v>
      </c>
      <c r="F643" s="264">
        <v>6795</v>
      </c>
      <c r="G643" s="264">
        <v>231026</v>
      </c>
      <c r="H643" s="264">
        <v>1242</v>
      </c>
      <c r="I643" s="264">
        <v>42222</v>
      </c>
      <c r="J643" s="264">
        <v>188804</v>
      </c>
    </row>
    <row r="644" spans="1:10" ht="42.95" customHeight="1" x14ac:dyDescent="0.2">
      <c r="A644" s="278"/>
      <c r="B644" s="278"/>
      <c r="C644" s="277" t="s">
        <v>245</v>
      </c>
      <c r="D644" s="261" t="s">
        <v>83</v>
      </c>
      <c r="E644" s="264">
        <v>1828</v>
      </c>
      <c r="F644" s="264">
        <v>2773</v>
      </c>
      <c r="G644" s="264">
        <v>5068385</v>
      </c>
      <c r="H644" s="264">
        <v>790</v>
      </c>
      <c r="I644" s="264">
        <v>1444085</v>
      </c>
      <c r="J644" s="264">
        <v>3624301</v>
      </c>
    </row>
    <row r="645" spans="1:10" ht="14.1" customHeight="1" x14ac:dyDescent="0.2">
      <c r="A645" s="278"/>
      <c r="B645" s="278"/>
      <c r="C645" s="278"/>
      <c r="D645" s="261" t="s">
        <v>118</v>
      </c>
      <c r="E645" s="264">
        <v>5</v>
      </c>
      <c r="F645" s="264">
        <v>51490</v>
      </c>
      <c r="G645" s="264">
        <v>257452</v>
      </c>
      <c r="H645" s="264">
        <v>790</v>
      </c>
      <c r="I645" s="264">
        <v>3950</v>
      </c>
      <c r="J645" s="264">
        <v>253502</v>
      </c>
    </row>
    <row r="646" spans="1:10" ht="14.1" customHeight="1" x14ac:dyDescent="0.2">
      <c r="A646" s="278"/>
      <c r="B646" s="278"/>
      <c r="C646" s="278"/>
      <c r="D646" s="261" t="s">
        <v>92</v>
      </c>
      <c r="E646" s="264">
        <v>1510</v>
      </c>
      <c r="F646" s="264">
        <v>31120</v>
      </c>
      <c r="G646" s="264">
        <v>46991840</v>
      </c>
      <c r="H646" s="264">
        <v>790</v>
      </c>
      <c r="I646" s="264">
        <v>1192871</v>
      </c>
      <c r="J646" s="264">
        <v>45798969</v>
      </c>
    </row>
    <row r="647" spans="1:10" ht="14.1" customHeight="1" x14ac:dyDescent="0.2">
      <c r="A647" s="278"/>
      <c r="B647" s="278"/>
      <c r="C647" s="278"/>
      <c r="D647" s="261" t="s">
        <v>86</v>
      </c>
      <c r="E647" s="264">
        <v>6968</v>
      </c>
      <c r="F647" s="264">
        <v>18898</v>
      </c>
      <c r="G647" s="264">
        <v>131680432</v>
      </c>
      <c r="H647" s="264">
        <v>790</v>
      </c>
      <c r="I647" s="264">
        <v>5504586</v>
      </c>
      <c r="J647" s="264">
        <v>126175846</v>
      </c>
    </row>
    <row r="648" spans="1:10" ht="14.1" customHeight="1" x14ac:dyDescent="0.2">
      <c r="A648" s="278"/>
      <c r="B648" s="278"/>
      <c r="C648" s="278"/>
      <c r="D648" s="261" t="s">
        <v>87</v>
      </c>
      <c r="E648" s="264">
        <v>549</v>
      </c>
      <c r="F648" s="264">
        <v>12107</v>
      </c>
      <c r="G648" s="264">
        <v>6646708</v>
      </c>
      <c r="H648" s="264">
        <v>790</v>
      </c>
      <c r="I648" s="264">
        <v>433699</v>
      </c>
      <c r="J648" s="264">
        <v>6213009</v>
      </c>
    </row>
    <row r="649" spans="1:10" ht="14.1" customHeight="1" x14ac:dyDescent="0.2">
      <c r="A649" s="278"/>
      <c r="B649" s="278"/>
      <c r="C649" s="278"/>
      <c r="D649" s="261" t="s">
        <v>84</v>
      </c>
      <c r="E649" s="264">
        <v>1239</v>
      </c>
      <c r="F649" s="264">
        <v>8486</v>
      </c>
      <c r="G649" s="264">
        <v>10513595</v>
      </c>
      <c r="H649" s="264">
        <v>790</v>
      </c>
      <c r="I649" s="264">
        <v>978786</v>
      </c>
      <c r="J649" s="264">
        <v>9534809</v>
      </c>
    </row>
    <row r="650" spans="1:10" ht="14.1" customHeight="1" x14ac:dyDescent="0.2">
      <c r="A650" s="278"/>
      <c r="B650" s="278"/>
      <c r="C650" s="278"/>
      <c r="D650" s="261" t="s">
        <v>85</v>
      </c>
      <c r="E650" s="264">
        <v>62</v>
      </c>
      <c r="F650" s="264">
        <v>5771</v>
      </c>
      <c r="G650" s="264">
        <v>357784</v>
      </c>
      <c r="H650" s="264">
        <v>790</v>
      </c>
      <c r="I650" s="264">
        <v>48979</v>
      </c>
      <c r="J650" s="264">
        <v>308805</v>
      </c>
    </row>
    <row r="651" spans="1:10" ht="14.1" customHeight="1" x14ac:dyDescent="0.2">
      <c r="A651" s="278"/>
      <c r="B651" s="278"/>
      <c r="C651" s="278"/>
      <c r="D651" s="261" t="s">
        <v>96</v>
      </c>
      <c r="E651" s="264">
        <v>4367</v>
      </c>
      <c r="F651" s="264">
        <v>3507</v>
      </c>
      <c r="G651" s="264">
        <v>15313950</v>
      </c>
      <c r="H651" s="264">
        <v>790</v>
      </c>
      <c r="I651" s="264">
        <v>3449846</v>
      </c>
      <c r="J651" s="264">
        <v>11864104</v>
      </c>
    </row>
    <row r="652" spans="1:10" ht="14.1" customHeight="1" x14ac:dyDescent="0.2">
      <c r="A652" s="278"/>
      <c r="B652" s="278"/>
      <c r="C652" s="278"/>
      <c r="D652" s="261" t="s">
        <v>88</v>
      </c>
      <c r="E652" s="264">
        <v>72</v>
      </c>
      <c r="F652" s="264">
        <v>2149</v>
      </c>
      <c r="G652" s="264">
        <v>154751</v>
      </c>
      <c r="H652" s="264">
        <v>790</v>
      </c>
      <c r="I652" s="264">
        <v>56879</v>
      </c>
      <c r="J652" s="264">
        <v>97873</v>
      </c>
    </row>
    <row r="653" spans="1:10" ht="14.1" customHeight="1" x14ac:dyDescent="0.2">
      <c r="A653" s="278"/>
      <c r="B653" s="278"/>
      <c r="C653" s="278"/>
      <c r="D653" s="261" t="s">
        <v>78</v>
      </c>
      <c r="E653" s="264">
        <v>3452</v>
      </c>
      <c r="F653" s="264">
        <v>37175</v>
      </c>
      <c r="G653" s="264">
        <v>128329264</v>
      </c>
      <c r="H653" s="264">
        <v>790</v>
      </c>
      <c r="I653" s="264">
        <v>2727013</v>
      </c>
      <c r="J653" s="264">
        <v>125602250</v>
      </c>
    </row>
    <row r="654" spans="1:10" ht="14.1" customHeight="1" x14ac:dyDescent="0.2">
      <c r="A654" s="278"/>
      <c r="B654" s="278"/>
      <c r="C654" s="278"/>
      <c r="D654" s="261" t="s">
        <v>152</v>
      </c>
      <c r="E654" s="264">
        <v>88</v>
      </c>
      <c r="F654" s="264">
        <v>28002</v>
      </c>
      <c r="G654" s="264">
        <v>2464170</v>
      </c>
      <c r="H654" s="264">
        <v>790</v>
      </c>
      <c r="I654" s="264">
        <v>69518</v>
      </c>
      <c r="J654" s="264">
        <v>2394651</v>
      </c>
    </row>
    <row r="655" spans="1:10" ht="14.1" customHeight="1" x14ac:dyDescent="0.2">
      <c r="A655" s="278"/>
      <c r="B655" s="278"/>
      <c r="C655" s="278"/>
      <c r="D655" s="261" t="s">
        <v>153</v>
      </c>
      <c r="E655" s="264">
        <v>1553</v>
      </c>
      <c r="F655" s="264">
        <v>5152</v>
      </c>
      <c r="G655" s="264">
        <v>8001391</v>
      </c>
      <c r="H655" s="264">
        <v>790</v>
      </c>
      <c r="I655" s="264">
        <v>1226840</v>
      </c>
      <c r="J655" s="264">
        <v>6774551</v>
      </c>
    </row>
    <row r="656" spans="1:10" ht="14.1" customHeight="1" x14ac:dyDescent="0.2">
      <c r="A656" s="278"/>
      <c r="B656" s="278"/>
      <c r="C656" s="278"/>
      <c r="D656" s="261" t="s">
        <v>154</v>
      </c>
      <c r="E656" s="264">
        <v>1063</v>
      </c>
      <c r="F656" s="264">
        <v>6542</v>
      </c>
      <c r="G656" s="264">
        <v>6954560</v>
      </c>
      <c r="H656" s="264">
        <v>790</v>
      </c>
      <c r="I656" s="264">
        <v>839750</v>
      </c>
      <c r="J656" s="264">
        <v>6114810</v>
      </c>
    </row>
    <row r="657" spans="1:10" ht="29.1" customHeight="1" x14ac:dyDescent="0.2">
      <c r="A657" s="278"/>
      <c r="B657" s="277" t="s">
        <v>247</v>
      </c>
      <c r="C657" s="280" t="s">
        <v>75</v>
      </c>
      <c r="D657" s="261" t="s">
        <v>99</v>
      </c>
      <c r="E657" s="264">
        <v>2</v>
      </c>
      <c r="F657" s="264">
        <v>30330</v>
      </c>
      <c r="G657" s="264">
        <v>60661</v>
      </c>
      <c r="H657" s="264">
        <v>1188</v>
      </c>
      <c r="I657" s="264">
        <v>2376</v>
      </c>
      <c r="J657" s="264">
        <v>58285</v>
      </c>
    </row>
    <row r="658" spans="1:10" ht="14.1" customHeight="1" x14ac:dyDescent="0.2">
      <c r="A658" s="278"/>
      <c r="B658" s="278"/>
      <c r="C658" s="278"/>
      <c r="D658" s="261" t="s">
        <v>91</v>
      </c>
      <c r="E658" s="264">
        <v>34</v>
      </c>
      <c r="F658" s="264">
        <v>18108</v>
      </c>
      <c r="G658" s="264">
        <v>615669</v>
      </c>
      <c r="H658" s="264">
        <v>1188</v>
      </c>
      <c r="I658" s="264">
        <v>40387</v>
      </c>
      <c r="J658" s="264">
        <v>575281</v>
      </c>
    </row>
    <row r="659" spans="1:10" ht="14.1" customHeight="1" x14ac:dyDescent="0.2">
      <c r="A659" s="278"/>
      <c r="B659" s="278"/>
      <c r="C659" s="278"/>
      <c r="D659" s="261" t="s">
        <v>97</v>
      </c>
      <c r="E659" s="264">
        <v>50</v>
      </c>
      <c r="F659" s="264">
        <v>11317</v>
      </c>
      <c r="G659" s="264">
        <v>565848</v>
      </c>
      <c r="H659" s="264">
        <v>1188</v>
      </c>
      <c r="I659" s="264">
        <v>59393</v>
      </c>
      <c r="J659" s="264">
        <v>506455</v>
      </c>
    </row>
    <row r="660" spans="1:10" ht="14.1" customHeight="1" x14ac:dyDescent="0.2">
      <c r="A660" s="278"/>
      <c r="B660" s="278"/>
      <c r="C660" s="278"/>
      <c r="D660" s="261" t="s">
        <v>90</v>
      </c>
      <c r="E660" s="264">
        <v>167</v>
      </c>
      <c r="F660" s="264">
        <v>7696</v>
      </c>
      <c r="G660" s="264">
        <v>1285160</v>
      </c>
      <c r="H660" s="264">
        <v>1188</v>
      </c>
      <c r="I660" s="264">
        <v>198373</v>
      </c>
      <c r="J660" s="264">
        <v>1086787</v>
      </c>
    </row>
    <row r="661" spans="1:10" ht="14.1" customHeight="1" x14ac:dyDescent="0.2">
      <c r="A661" s="278"/>
      <c r="B661" s="278"/>
      <c r="C661" s="278"/>
      <c r="D661" s="261" t="s">
        <v>100</v>
      </c>
      <c r="E661" s="264">
        <v>9</v>
      </c>
      <c r="F661" s="264">
        <v>4981</v>
      </c>
      <c r="G661" s="264">
        <v>44827</v>
      </c>
      <c r="H661" s="264">
        <v>1188</v>
      </c>
      <c r="I661" s="264">
        <v>10691</v>
      </c>
      <c r="J661" s="264">
        <v>34136</v>
      </c>
    </row>
    <row r="662" spans="1:10" ht="14.1" customHeight="1" x14ac:dyDescent="0.2">
      <c r="A662" s="278"/>
      <c r="B662" s="278"/>
      <c r="C662" s="278"/>
      <c r="D662" s="261" t="s">
        <v>98</v>
      </c>
      <c r="E662" s="264">
        <v>9</v>
      </c>
      <c r="F662" s="264">
        <v>2717</v>
      </c>
      <c r="G662" s="264">
        <v>24451</v>
      </c>
      <c r="H662" s="264">
        <v>1188</v>
      </c>
      <c r="I662" s="264">
        <v>10691</v>
      </c>
      <c r="J662" s="264">
        <v>13760</v>
      </c>
    </row>
    <row r="663" spans="1:10" ht="14.1" customHeight="1" x14ac:dyDescent="0.2">
      <c r="A663" s="278"/>
      <c r="B663" s="278"/>
      <c r="C663" s="278"/>
      <c r="D663" s="261" t="s">
        <v>103</v>
      </c>
      <c r="E663" s="264">
        <v>3</v>
      </c>
      <c r="F663" s="264">
        <v>1359</v>
      </c>
      <c r="G663" s="264">
        <v>4078</v>
      </c>
      <c r="H663" s="264">
        <v>1188</v>
      </c>
      <c r="I663" s="264">
        <v>3564</v>
      </c>
      <c r="J663" s="264">
        <v>514</v>
      </c>
    </row>
    <row r="664" spans="1:10" ht="42.95" customHeight="1" x14ac:dyDescent="0.2">
      <c r="A664" s="278"/>
      <c r="B664" s="278"/>
      <c r="C664" s="277" t="s">
        <v>243</v>
      </c>
      <c r="D664" s="261" t="s">
        <v>92</v>
      </c>
      <c r="E664" s="264">
        <v>2</v>
      </c>
      <c r="F664" s="264">
        <v>31800</v>
      </c>
      <c r="G664" s="264">
        <v>63599</v>
      </c>
      <c r="H664" s="264">
        <v>2657</v>
      </c>
      <c r="I664" s="264">
        <v>5314</v>
      </c>
      <c r="J664" s="264">
        <v>58285</v>
      </c>
    </row>
    <row r="665" spans="1:10" ht="14.1" customHeight="1" x14ac:dyDescent="0.2">
      <c r="A665" s="278"/>
      <c r="B665" s="278"/>
      <c r="C665" s="278"/>
      <c r="D665" s="261" t="s">
        <v>86</v>
      </c>
      <c r="E665" s="264">
        <v>6</v>
      </c>
      <c r="F665" s="264">
        <v>19577</v>
      </c>
      <c r="G665" s="264">
        <v>117462</v>
      </c>
      <c r="H665" s="264">
        <v>2657</v>
      </c>
      <c r="I665" s="264">
        <v>15942</v>
      </c>
      <c r="J665" s="264">
        <v>101520</v>
      </c>
    </row>
    <row r="666" spans="1:10" ht="14.1" customHeight="1" x14ac:dyDescent="0.2">
      <c r="A666" s="278"/>
      <c r="B666" s="278"/>
      <c r="C666" s="278"/>
      <c r="D666" s="261" t="s">
        <v>87</v>
      </c>
      <c r="E666" s="264">
        <v>5</v>
      </c>
      <c r="F666" s="264">
        <v>12786</v>
      </c>
      <c r="G666" s="264">
        <v>63931</v>
      </c>
      <c r="H666" s="264">
        <v>2657</v>
      </c>
      <c r="I666" s="264">
        <v>13285</v>
      </c>
      <c r="J666" s="264">
        <v>50645</v>
      </c>
    </row>
    <row r="667" spans="1:10" ht="14.1" customHeight="1" x14ac:dyDescent="0.2">
      <c r="A667" s="278"/>
      <c r="B667" s="278"/>
      <c r="C667" s="278"/>
      <c r="D667" s="261" t="s">
        <v>84</v>
      </c>
      <c r="E667" s="264">
        <v>147</v>
      </c>
      <c r="F667" s="264">
        <v>9165</v>
      </c>
      <c r="G667" s="264">
        <v>1347217</v>
      </c>
      <c r="H667" s="264">
        <v>2657</v>
      </c>
      <c r="I667" s="264">
        <v>390584</v>
      </c>
      <c r="J667" s="264">
        <v>956633</v>
      </c>
    </row>
    <row r="668" spans="1:10" ht="14.1" customHeight="1" x14ac:dyDescent="0.2">
      <c r="A668" s="278"/>
      <c r="B668" s="278"/>
      <c r="C668" s="278"/>
      <c r="D668" s="261" t="s">
        <v>96</v>
      </c>
      <c r="E668" s="264">
        <v>1</v>
      </c>
      <c r="F668" s="264">
        <v>4186</v>
      </c>
      <c r="G668" s="264">
        <v>4186</v>
      </c>
      <c r="H668" s="264">
        <v>2657</v>
      </c>
      <c r="I668" s="264">
        <v>2657</v>
      </c>
      <c r="J668" s="264">
        <v>1529</v>
      </c>
    </row>
    <row r="669" spans="1:10" ht="42.95" customHeight="1" x14ac:dyDescent="0.2">
      <c r="A669" s="278"/>
      <c r="B669" s="278"/>
      <c r="C669" s="277" t="s">
        <v>244</v>
      </c>
      <c r="D669" s="261" t="s">
        <v>84</v>
      </c>
      <c r="E669" s="264">
        <v>3</v>
      </c>
      <c r="F669" s="264">
        <v>8937</v>
      </c>
      <c r="G669" s="264">
        <v>26812</v>
      </c>
      <c r="H669" s="264">
        <v>2430</v>
      </c>
      <c r="I669" s="264">
        <v>7289</v>
      </c>
      <c r="J669" s="264">
        <v>19523</v>
      </c>
    </row>
    <row r="670" spans="1:10" ht="14.1" customHeight="1" x14ac:dyDescent="0.2">
      <c r="A670" s="278"/>
      <c r="B670" s="278"/>
      <c r="C670" s="278"/>
      <c r="D670" s="261" t="s">
        <v>85</v>
      </c>
      <c r="E670" s="264">
        <v>1</v>
      </c>
      <c r="F670" s="264">
        <v>6223</v>
      </c>
      <c r="G670" s="264">
        <v>6223</v>
      </c>
      <c r="H670" s="264">
        <v>2430</v>
      </c>
      <c r="I670" s="264">
        <v>2430</v>
      </c>
      <c r="J670" s="264">
        <v>3793</v>
      </c>
    </row>
    <row r="671" spans="1:10" ht="42.95" customHeight="1" x14ac:dyDescent="0.2">
      <c r="A671" s="278"/>
      <c r="B671" s="278"/>
      <c r="C671" s="277" t="s">
        <v>245</v>
      </c>
      <c r="D671" s="261" t="s">
        <v>102</v>
      </c>
      <c r="E671" s="264">
        <v>15</v>
      </c>
      <c r="F671" s="264">
        <v>97664</v>
      </c>
      <c r="G671" s="264">
        <v>1464957</v>
      </c>
      <c r="H671" s="264">
        <v>1978</v>
      </c>
      <c r="I671" s="264">
        <v>29668</v>
      </c>
      <c r="J671" s="264">
        <v>1435289</v>
      </c>
    </row>
    <row r="672" spans="1:10" ht="14.1" customHeight="1" x14ac:dyDescent="0.2">
      <c r="A672" s="278"/>
      <c r="B672" s="278"/>
      <c r="C672" s="278"/>
      <c r="D672" s="261" t="s">
        <v>92</v>
      </c>
      <c r="E672" s="264">
        <v>497</v>
      </c>
      <c r="F672" s="264">
        <v>31120</v>
      </c>
      <c r="G672" s="264">
        <v>15466851</v>
      </c>
      <c r="H672" s="264">
        <v>1978</v>
      </c>
      <c r="I672" s="264">
        <v>982987</v>
      </c>
      <c r="J672" s="264">
        <v>14483863</v>
      </c>
    </row>
    <row r="673" spans="1:10" ht="14.1" customHeight="1" x14ac:dyDescent="0.2">
      <c r="A673" s="278"/>
      <c r="B673" s="278"/>
      <c r="C673" s="278"/>
      <c r="D673" s="261" t="s">
        <v>86</v>
      </c>
      <c r="E673" s="264">
        <v>3828</v>
      </c>
      <c r="F673" s="264">
        <v>18898</v>
      </c>
      <c r="G673" s="264">
        <v>72341087</v>
      </c>
      <c r="H673" s="264">
        <v>1978</v>
      </c>
      <c r="I673" s="264">
        <v>7571179</v>
      </c>
      <c r="J673" s="264">
        <v>64769908</v>
      </c>
    </row>
    <row r="674" spans="1:10" ht="14.1" customHeight="1" x14ac:dyDescent="0.2">
      <c r="A674" s="278"/>
      <c r="B674" s="278"/>
      <c r="C674" s="278"/>
      <c r="D674" s="261" t="s">
        <v>87</v>
      </c>
      <c r="E674" s="264">
        <v>5055</v>
      </c>
      <c r="F674" s="264">
        <v>12107</v>
      </c>
      <c r="G674" s="264">
        <v>61200564</v>
      </c>
      <c r="H674" s="264">
        <v>1978</v>
      </c>
      <c r="I674" s="264">
        <v>9997991</v>
      </c>
      <c r="J674" s="264">
        <v>51202572</v>
      </c>
    </row>
    <row r="675" spans="1:10" ht="14.1" customHeight="1" x14ac:dyDescent="0.2">
      <c r="A675" s="278"/>
      <c r="B675" s="278"/>
      <c r="C675" s="278"/>
      <c r="D675" s="261" t="s">
        <v>84</v>
      </c>
      <c r="E675" s="264">
        <v>8542</v>
      </c>
      <c r="F675" s="264">
        <v>8486</v>
      </c>
      <c r="G675" s="264">
        <v>72483561</v>
      </c>
      <c r="H675" s="264">
        <v>1978</v>
      </c>
      <c r="I675" s="264">
        <v>16894726</v>
      </c>
      <c r="J675" s="264">
        <v>55588834</v>
      </c>
    </row>
    <row r="676" spans="1:10" ht="14.1" customHeight="1" x14ac:dyDescent="0.2">
      <c r="A676" s="278"/>
      <c r="B676" s="278"/>
      <c r="C676" s="278"/>
      <c r="D676" s="261" t="s">
        <v>85</v>
      </c>
      <c r="E676" s="264">
        <v>500</v>
      </c>
      <c r="F676" s="264">
        <v>5771</v>
      </c>
      <c r="G676" s="264">
        <v>2885356</v>
      </c>
      <c r="H676" s="264">
        <v>1978</v>
      </c>
      <c r="I676" s="264">
        <v>988921</v>
      </c>
      <c r="J676" s="264">
        <v>1896435</v>
      </c>
    </row>
    <row r="677" spans="1:10" ht="14.1" customHeight="1" x14ac:dyDescent="0.2">
      <c r="A677" s="278"/>
      <c r="B677" s="278"/>
      <c r="C677" s="278"/>
      <c r="D677" s="261" t="s">
        <v>96</v>
      </c>
      <c r="E677" s="264">
        <v>346</v>
      </c>
      <c r="F677" s="264">
        <v>3507</v>
      </c>
      <c r="G677" s="264">
        <v>1213333</v>
      </c>
      <c r="H677" s="264">
        <v>1978</v>
      </c>
      <c r="I677" s="264">
        <v>684333</v>
      </c>
      <c r="J677" s="264">
        <v>529000</v>
      </c>
    </row>
    <row r="678" spans="1:10" ht="14.1" customHeight="1" x14ac:dyDescent="0.2">
      <c r="A678" s="278"/>
      <c r="B678" s="278"/>
      <c r="C678" s="278"/>
      <c r="D678" s="261" t="s">
        <v>88</v>
      </c>
      <c r="E678" s="264">
        <v>582</v>
      </c>
      <c r="F678" s="264">
        <v>2149</v>
      </c>
      <c r="G678" s="264">
        <v>1250908</v>
      </c>
      <c r="H678" s="264">
        <v>1978</v>
      </c>
      <c r="I678" s="264">
        <v>1151104</v>
      </c>
      <c r="J678" s="264">
        <v>99803</v>
      </c>
    </row>
    <row r="679" spans="1:10" ht="14.1" customHeight="1" x14ac:dyDescent="0.2">
      <c r="A679" s="278" t="s">
        <v>104</v>
      </c>
      <c r="B679" s="278" t="s">
        <v>60</v>
      </c>
      <c r="C679" s="278"/>
      <c r="D679" s="278"/>
      <c r="E679" s="264">
        <v>3776</v>
      </c>
      <c r="F679" s="264"/>
      <c r="G679" s="264">
        <v>71387714</v>
      </c>
      <c r="H679" s="264">
        <v>32989</v>
      </c>
      <c r="I679" s="264"/>
      <c r="J679" s="264">
        <v>67993294</v>
      </c>
    </row>
    <row r="680" spans="1:10" ht="14.1" customHeight="1" x14ac:dyDescent="0.2">
      <c r="A680" s="278"/>
      <c r="B680" s="261" t="s">
        <v>71</v>
      </c>
      <c r="C680" s="261" t="s">
        <v>72</v>
      </c>
      <c r="D680" s="261" t="s">
        <v>73</v>
      </c>
      <c r="E680" s="281">
        <v>218</v>
      </c>
      <c r="F680" s="281">
        <v>12172</v>
      </c>
      <c r="G680" s="281">
        <v>2653593</v>
      </c>
      <c r="H680" s="281">
        <v>1978</v>
      </c>
      <c r="I680" s="281">
        <v>431170</v>
      </c>
      <c r="J680" s="281">
        <v>2222424</v>
      </c>
    </row>
    <row r="681" spans="1:10" ht="42.95" customHeight="1" x14ac:dyDescent="0.2">
      <c r="A681" s="278"/>
      <c r="B681" s="265" t="s">
        <v>74</v>
      </c>
      <c r="C681" s="263" t="s">
        <v>245</v>
      </c>
      <c r="D681" s="261" t="s">
        <v>79</v>
      </c>
      <c r="E681" s="282"/>
      <c r="F681" s="282"/>
      <c r="G681" s="282"/>
      <c r="H681" s="282"/>
      <c r="I681" s="282"/>
      <c r="J681" s="282"/>
    </row>
    <row r="682" spans="1:10" ht="42.95" customHeight="1" x14ac:dyDescent="0.2">
      <c r="A682" s="278"/>
      <c r="B682" s="277" t="s">
        <v>246</v>
      </c>
      <c r="C682" s="280" t="s">
        <v>75</v>
      </c>
      <c r="D682" s="261" t="s">
        <v>99</v>
      </c>
      <c r="E682" s="264">
        <v>2</v>
      </c>
      <c r="F682" s="264">
        <v>30330</v>
      </c>
      <c r="G682" s="264">
        <v>60661</v>
      </c>
      <c r="H682" s="264">
        <v>0</v>
      </c>
      <c r="I682" s="264">
        <v>0</v>
      </c>
      <c r="J682" s="264">
        <v>60661</v>
      </c>
    </row>
    <row r="683" spans="1:10" ht="14.1" customHeight="1" x14ac:dyDescent="0.2">
      <c r="A683" s="278"/>
      <c r="B683" s="278"/>
      <c r="C683" s="278"/>
      <c r="D683" s="261" t="s">
        <v>91</v>
      </c>
      <c r="E683" s="264">
        <v>10</v>
      </c>
      <c r="F683" s="264">
        <v>18108</v>
      </c>
      <c r="G683" s="264">
        <v>181079</v>
      </c>
      <c r="H683" s="264">
        <v>0</v>
      </c>
      <c r="I683" s="264">
        <v>0</v>
      </c>
      <c r="J683" s="264">
        <v>181079</v>
      </c>
    </row>
    <row r="684" spans="1:10" ht="14.1" customHeight="1" x14ac:dyDescent="0.2">
      <c r="A684" s="278"/>
      <c r="B684" s="278"/>
      <c r="C684" s="278"/>
      <c r="D684" s="261" t="s">
        <v>90</v>
      </c>
      <c r="E684" s="264">
        <v>5</v>
      </c>
      <c r="F684" s="264">
        <v>7696</v>
      </c>
      <c r="G684" s="264">
        <v>38478</v>
      </c>
      <c r="H684" s="264">
        <v>0</v>
      </c>
      <c r="I684" s="264">
        <v>0</v>
      </c>
      <c r="J684" s="264">
        <v>38478</v>
      </c>
    </row>
    <row r="685" spans="1:10" ht="14.1" customHeight="1" x14ac:dyDescent="0.2">
      <c r="A685" s="278"/>
      <c r="B685" s="278"/>
      <c r="C685" s="278"/>
      <c r="D685" s="261" t="s">
        <v>76</v>
      </c>
      <c r="E685" s="264">
        <v>234</v>
      </c>
      <c r="F685" s="264">
        <v>36385</v>
      </c>
      <c r="G685" s="264">
        <v>8514173</v>
      </c>
      <c r="H685" s="264">
        <v>0</v>
      </c>
      <c r="I685" s="264">
        <v>0</v>
      </c>
      <c r="J685" s="264">
        <v>8514173</v>
      </c>
    </row>
    <row r="686" spans="1:10" ht="14.1" customHeight="1" x14ac:dyDescent="0.2">
      <c r="A686" s="278"/>
      <c r="B686" s="278"/>
      <c r="C686" s="278"/>
      <c r="D686" s="261" t="s">
        <v>155</v>
      </c>
      <c r="E686" s="264">
        <v>12</v>
      </c>
      <c r="F686" s="264">
        <v>4362</v>
      </c>
      <c r="G686" s="264">
        <v>52347</v>
      </c>
      <c r="H686" s="264">
        <v>0</v>
      </c>
      <c r="I686" s="264">
        <v>0</v>
      </c>
      <c r="J686" s="264">
        <v>52347</v>
      </c>
    </row>
    <row r="687" spans="1:10" ht="14.1" customHeight="1" x14ac:dyDescent="0.2">
      <c r="A687" s="278"/>
      <c r="B687" s="278"/>
      <c r="C687" s="278"/>
      <c r="D687" s="261" t="s">
        <v>151</v>
      </c>
      <c r="E687" s="264">
        <v>32</v>
      </c>
      <c r="F687" s="264">
        <v>5752</v>
      </c>
      <c r="G687" s="264">
        <v>184077</v>
      </c>
      <c r="H687" s="264">
        <v>0</v>
      </c>
      <c r="I687" s="264">
        <v>0</v>
      </c>
      <c r="J687" s="264">
        <v>184077</v>
      </c>
    </row>
    <row r="688" spans="1:10" ht="42.95" customHeight="1" x14ac:dyDescent="0.2">
      <c r="A688" s="278"/>
      <c r="B688" s="278"/>
      <c r="C688" s="277" t="s">
        <v>243</v>
      </c>
      <c r="D688" s="261" t="s">
        <v>83</v>
      </c>
      <c r="E688" s="264">
        <v>1</v>
      </c>
      <c r="F688" s="264">
        <v>3452</v>
      </c>
      <c r="G688" s="264">
        <v>3452</v>
      </c>
      <c r="H688" s="264">
        <v>1469</v>
      </c>
      <c r="I688" s="264">
        <v>1469</v>
      </c>
      <c r="J688" s="264">
        <v>1983</v>
      </c>
    </row>
    <row r="689" spans="1:10" ht="14.1" customHeight="1" x14ac:dyDescent="0.2">
      <c r="A689" s="278"/>
      <c r="B689" s="278"/>
      <c r="C689" s="278"/>
      <c r="D689" s="261" t="s">
        <v>86</v>
      </c>
      <c r="E689" s="264">
        <v>1</v>
      </c>
      <c r="F689" s="264">
        <v>19577</v>
      </c>
      <c r="G689" s="264">
        <v>19577</v>
      </c>
      <c r="H689" s="264">
        <v>1469</v>
      </c>
      <c r="I689" s="264">
        <v>1469</v>
      </c>
      <c r="J689" s="264">
        <v>18108</v>
      </c>
    </row>
    <row r="690" spans="1:10" ht="14.1" customHeight="1" x14ac:dyDescent="0.2">
      <c r="A690" s="278"/>
      <c r="B690" s="278"/>
      <c r="C690" s="278"/>
      <c r="D690" s="261" t="s">
        <v>78</v>
      </c>
      <c r="E690" s="264">
        <v>13</v>
      </c>
      <c r="F690" s="264">
        <v>37855</v>
      </c>
      <c r="G690" s="264">
        <v>492109</v>
      </c>
      <c r="H690" s="264">
        <v>1469</v>
      </c>
      <c r="I690" s="264">
        <v>19099</v>
      </c>
      <c r="J690" s="264">
        <v>473010</v>
      </c>
    </row>
    <row r="691" spans="1:10" ht="14.1" customHeight="1" x14ac:dyDescent="0.2">
      <c r="A691" s="278"/>
      <c r="B691" s="278"/>
      <c r="C691" s="278"/>
      <c r="D691" s="261" t="s">
        <v>153</v>
      </c>
      <c r="E691" s="264">
        <v>38</v>
      </c>
      <c r="F691" s="264">
        <v>5831</v>
      </c>
      <c r="G691" s="264">
        <v>221593</v>
      </c>
      <c r="H691" s="264">
        <v>1469</v>
      </c>
      <c r="I691" s="264">
        <v>55829</v>
      </c>
      <c r="J691" s="264">
        <v>165765</v>
      </c>
    </row>
    <row r="692" spans="1:10" ht="14.1" customHeight="1" x14ac:dyDescent="0.2">
      <c r="A692" s="278"/>
      <c r="B692" s="278"/>
      <c r="C692" s="278"/>
      <c r="D692" s="261" t="s">
        <v>154</v>
      </c>
      <c r="E692" s="264">
        <v>7</v>
      </c>
      <c r="F692" s="264">
        <v>7222</v>
      </c>
      <c r="G692" s="264">
        <v>50551</v>
      </c>
      <c r="H692" s="264">
        <v>1469</v>
      </c>
      <c r="I692" s="264">
        <v>10284</v>
      </c>
      <c r="J692" s="264">
        <v>40267</v>
      </c>
    </row>
    <row r="693" spans="1:10" ht="42.95" customHeight="1" x14ac:dyDescent="0.2">
      <c r="A693" s="278"/>
      <c r="B693" s="278"/>
      <c r="C693" s="263" t="s">
        <v>244</v>
      </c>
      <c r="D693" s="261" t="s">
        <v>153</v>
      </c>
      <c r="E693" s="264">
        <v>43</v>
      </c>
      <c r="F693" s="264">
        <v>5425</v>
      </c>
      <c r="G693" s="264">
        <v>233293</v>
      </c>
      <c r="H693" s="264">
        <v>1242</v>
      </c>
      <c r="I693" s="264">
        <v>53398</v>
      </c>
      <c r="J693" s="264">
        <v>179895</v>
      </c>
    </row>
    <row r="694" spans="1:10" ht="42.95" customHeight="1" x14ac:dyDescent="0.2">
      <c r="A694" s="278"/>
      <c r="B694" s="278"/>
      <c r="C694" s="277" t="s">
        <v>245</v>
      </c>
      <c r="D694" s="261" t="s">
        <v>83</v>
      </c>
      <c r="E694" s="264">
        <v>1</v>
      </c>
      <c r="F694" s="264">
        <v>2773</v>
      </c>
      <c r="G694" s="264">
        <v>2773</v>
      </c>
      <c r="H694" s="264">
        <v>790</v>
      </c>
      <c r="I694" s="264">
        <v>790</v>
      </c>
      <c r="J694" s="264">
        <v>1983</v>
      </c>
    </row>
    <row r="695" spans="1:10" ht="14.1" customHeight="1" x14ac:dyDescent="0.2">
      <c r="A695" s="278"/>
      <c r="B695" s="278"/>
      <c r="C695" s="278"/>
      <c r="D695" s="261" t="s">
        <v>118</v>
      </c>
      <c r="E695" s="264">
        <v>8</v>
      </c>
      <c r="F695" s="264">
        <v>51490</v>
      </c>
      <c r="G695" s="264">
        <v>411923</v>
      </c>
      <c r="H695" s="264">
        <v>790</v>
      </c>
      <c r="I695" s="264">
        <v>6320</v>
      </c>
      <c r="J695" s="264">
        <v>405603</v>
      </c>
    </row>
    <row r="696" spans="1:10" ht="14.1" customHeight="1" x14ac:dyDescent="0.2">
      <c r="A696" s="278"/>
      <c r="B696" s="278"/>
      <c r="C696" s="278"/>
      <c r="D696" s="261" t="s">
        <v>92</v>
      </c>
      <c r="E696" s="264">
        <v>294</v>
      </c>
      <c r="F696" s="264">
        <v>31120</v>
      </c>
      <c r="G696" s="264">
        <v>9149405</v>
      </c>
      <c r="H696" s="264">
        <v>790</v>
      </c>
      <c r="I696" s="264">
        <v>232254</v>
      </c>
      <c r="J696" s="264">
        <v>8917150</v>
      </c>
    </row>
    <row r="697" spans="1:10" ht="14.1" customHeight="1" x14ac:dyDescent="0.2">
      <c r="A697" s="278"/>
      <c r="B697" s="278"/>
      <c r="C697" s="278"/>
      <c r="D697" s="261" t="s">
        <v>86</v>
      </c>
      <c r="E697" s="264">
        <v>623</v>
      </c>
      <c r="F697" s="264">
        <v>18898</v>
      </c>
      <c r="G697" s="264">
        <v>11773380</v>
      </c>
      <c r="H697" s="264">
        <v>790</v>
      </c>
      <c r="I697" s="264">
        <v>492158</v>
      </c>
      <c r="J697" s="264">
        <v>11281222</v>
      </c>
    </row>
    <row r="698" spans="1:10" ht="14.1" customHeight="1" x14ac:dyDescent="0.2">
      <c r="A698" s="278"/>
      <c r="B698" s="278"/>
      <c r="C698" s="278"/>
      <c r="D698" s="261" t="s">
        <v>87</v>
      </c>
      <c r="E698" s="264">
        <v>11</v>
      </c>
      <c r="F698" s="264">
        <v>12107</v>
      </c>
      <c r="G698" s="264">
        <v>133176</v>
      </c>
      <c r="H698" s="264">
        <v>790</v>
      </c>
      <c r="I698" s="264">
        <v>8690</v>
      </c>
      <c r="J698" s="264">
        <v>124487</v>
      </c>
    </row>
    <row r="699" spans="1:10" ht="14.1" customHeight="1" x14ac:dyDescent="0.2">
      <c r="A699" s="278"/>
      <c r="B699" s="278"/>
      <c r="C699" s="278"/>
      <c r="D699" s="261" t="s">
        <v>84</v>
      </c>
      <c r="E699" s="264">
        <v>89</v>
      </c>
      <c r="F699" s="264">
        <v>8486</v>
      </c>
      <c r="G699" s="264">
        <v>755214</v>
      </c>
      <c r="H699" s="264">
        <v>790</v>
      </c>
      <c r="I699" s="264">
        <v>70308</v>
      </c>
      <c r="J699" s="264">
        <v>684906</v>
      </c>
    </row>
    <row r="700" spans="1:10" ht="14.1" customHeight="1" x14ac:dyDescent="0.2">
      <c r="A700" s="278"/>
      <c r="B700" s="278"/>
      <c r="C700" s="278"/>
      <c r="D700" s="261" t="s">
        <v>88</v>
      </c>
      <c r="E700" s="264">
        <v>3</v>
      </c>
      <c r="F700" s="264">
        <v>2149</v>
      </c>
      <c r="G700" s="264">
        <v>6448</v>
      </c>
      <c r="H700" s="264">
        <v>790</v>
      </c>
      <c r="I700" s="264">
        <v>2370</v>
      </c>
      <c r="J700" s="264">
        <v>4078</v>
      </c>
    </row>
    <row r="701" spans="1:10" ht="14.1" customHeight="1" x14ac:dyDescent="0.2">
      <c r="A701" s="278"/>
      <c r="B701" s="278"/>
      <c r="C701" s="278"/>
      <c r="D701" s="261" t="s">
        <v>78</v>
      </c>
      <c r="E701" s="264">
        <v>658</v>
      </c>
      <c r="F701" s="264">
        <v>37175</v>
      </c>
      <c r="G701" s="264">
        <v>24461372</v>
      </c>
      <c r="H701" s="264">
        <v>790</v>
      </c>
      <c r="I701" s="264">
        <v>519807</v>
      </c>
      <c r="J701" s="264">
        <v>23941565</v>
      </c>
    </row>
    <row r="702" spans="1:10" ht="14.1" customHeight="1" x14ac:dyDescent="0.2">
      <c r="A702" s="278"/>
      <c r="B702" s="278"/>
      <c r="C702" s="278"/>
      <c r="D702" s="261" t="s">
        <v>152</v>
      </c>
      <c r="E702" s="264">
        <v>25</v>
      </c>
      <c r="F702" s="264">
        <v>28002</v>
      </c>
      <c r="G702" s="264">
        <v>700048</v>
      </c>
      <c r="H702" s="264">
        <v>790</v>
      </c>
      <c r="I702" s="264">
        <v>19750</v>
      </c>
      <c r="J702" s="264">
        <v>680299</v>
      </c>
    </row>
    <row r="703" spans="1:10" ht="14.1" customHeight="1" x14ac:dyDescent="0.2">
      <c r="A703" s="278"/>
      <c r="B703" s="278"/>
      <c r="C703" s="278"/>
      <c r="D703" s="261" t="s">
        <v>153</v>
      </c>
      <c r="E703" s="264">
        <v>528</v>
      </c>
      <c r="F703" s="264">
        <v>5152</v>
      </c>
      <c r="G703" s="264">
        <v>2720370</v>
      </c>
      <c r="H703" s="264">
        <v>790</v>
      </c>
      <c r="I703" s="264">
        <v>417110</v>
      </c>
      <c r="J703" s="264">
        <v>2303260</v>
      </c>
    </row>
    <row r="704" spans="1:10" ht="14.1" customHeight="1" x14ac:dyDescent="0.2">
      <c r="A704" s="278"/>
      <c r="B704" s="278"/>
      <c r="C704" s="278"/>
      <c r="D704" s="261" t="s">
        <v>154</v>
      </c>
      <c r="E704" s="264">
        <v>646</v>
      </c>
      <c r="F704" s="264">
        <v>6542</v>
      </c>
      <c r="G704" s="264">
        <v>4226383</v>
      </c>
      <c r="H704" s="264">
        <v>790</v>
      </c>
      <c r="I704" s="264">
        <v>510328</v>
      </c>
      <c r="J704" s="264">
        <v>3716056</v>
      </c>
    </row>
    <row r="705" spans="1:10" ht="29.1" customHeight="1" x14ac:dyDescent="0.2">
      <c r="A705" s="278"/>
      <c r="B705" s="277" t="s">
        <v>247</v>
      </c>
      <c r="C705" s="262" t="s">
        <v>75</v>
      </c>
      <c r="D705" s="261" t="s">
        <v>91</v>
      </c>
      <c r="E705" s="264">
        <v>1</v>
      </c>
      <c r="F705" s="264">
        <v>18108</v>
      </c>
      <c r="G705" s="264">
        <v>18108</v>
      </c>
      <c r="H705" s="264">
        <v>1188</v>
      </c>
      <c r="I705" s="264">
        <v>1188</v>
      </c>
      <c r="J705" s="264">
        <v>16920</v>
      </c>
    </row>
    <row r="706" spans="1:10" ht="42.95" customHeight="1" x14ac:dyDescent="0.2">
      <c r="A706" s="278"/>
      <c r="B706" s="278"/>
      <c r="C706" s="263" t="s">
        <v>243</v>
      </c>
      <c r="D706" s="261" t="s">
        <v>88</v>
      </c>
      <c r="E706" s="264">
        <v>1</v>
      </c>
      <c r="F706" s="264">
        <v>2829</v>
      </c>
      <c r="G706" s="264">
        <v>2829</v>
      </c>
      <c r="H706" s="264">
        <v>2657</v>
      </c>
      <c r="I706" s="264">
        <v>2657</v>
      </c>
      <c r="J706" s="264">
        <v>171</v>
      </c>
    </row>
    <row r="707" spans="1:10" ht="42.95" customHeight="1" x14ac:dyDescent="0.2">
      <c r="A707" s="278"/>
      <c r="B707" s="278"/>
      <c r="C707" s="277" t="s">
        <v>245</v>
      </c>
      <c r="D707" s="261" t="s">
        <v>92</v>
      </c>
      <c r="E707" s="264">
        <v>59</v>
      </c>
      <c r="F707" s="264">
        <v>31120</v>
      </c>
      <c r="G707" s="264">
        <v>1836105</v>
      </c>
      <c r="H707" s="264">
        <v>1978</v>
      </c>
      <c r="I707" s="264">
        <v>116693</v>
      </c>
      <c r="J707" s="264">
        <v>1719412</v>
      </c>
    </row>
    <row r="708" spans="1:10" ht="14.1" customHeight="1" x14ac:dyDescent="0.2">
      <c r="A708" s="278"/>
      <c r="B708" s="278"/>
      <c r="C708" s="278"/>
      <c r="D708" s="261" t="s">
        <v>86</v>
      </c>
      <c r="E708" s="264">
        <v>90</v>
      </c>
      <c r="F708" s="264">
        <v>18898</v>
      </c>
      <c r="G708" s="264">
        <v>1700809</v>
      </c>
      <c r="H708" s="264">
        <v>1978</v>
      </c>
      <c r="I708" s="264">
        <v>178006</v>
      </c>
      <c r="J708" s="264">
        <v>1522803</v>
      </c>
    </row>
    <row r="709" spans="1:10" ht="14.1" customHeight="1" x14ac:dyDescent="0.2">
      <c r="A709" s="278"/>
      <c r="B709" s="278"/>
      <c r="C709" s="278"/>
      <c r="D709" s="261" t="s">
        <v>84</v>
      </c>
      <c r="E709" s="264">
        <v>81</v>
      </c>
      <c r="F709" s="264">
        <v>8486</v>
      </c>
      <c r="G709" s="264">
        <v>687329</v>
      </c>
      <c r="H709" s="264">
        <v>1978</v>
      </c>
      <c r="I709" s="264">
        <v>160205</v>
      </c>
      <c r="J709" s="264">
        <v>527124</v>
      </c>
    </row>
    <row r="710" spans="1:10" ht="14.1" customHeight="1" x14ac:dyDescent="0.2">
      <c r="A710" s="278"/>
      <c r="B710" s="278"/>
      <c r="C710" s="278"/>
      <c r="D710" s="261" t="s">
        <v>96</v>
      </c>
      <c r="E710" s="264">
        <v>5</v>
      </c>
      <c r="F710" s="264">
        <v>3507</v>
      </c>
      <c r="G710" s="264">
        <v>17534</v>
      </c>
      <c r="H710" s="264">
        <v>1978</v>
      </c>
      <c r="I710" s="264">
        <v>9889</v>
      </c>
      <c r="J710" s="264">
        <v>7645</v>
      </c>
    </row>
    <row r="711" spans="1:10" ht="14.1" customHeight="1" x14ac:dyDescent="0.2">
      <c r="A711" s="278"/>
      <c r="B711" s="278"/>
      <c r="C711" s="278"/>
      <c r="D711" s="261" t="s">
        <v>88</v>
      </c>
      <c r="E711" s="264">
        <v>37</v>
      </c>
      <c r="F711" s="264">
        <v>2149</v>
      </c>
      <c r="G711" s="264">
        <v>79525</v>
      </c>
      <c r="H711" s="264">
        <v>1978</v>
      </c>
      <c r="I711" s="264">
        <v>73180</v>
      </c>
      <c r="J711" s="264">
        <v>6345</v>
      </c>
    </row>
    <row r="712" spans="1:10" ht="14.1" customHeight="1" x14ac:dyDescent="0.2">
      <c r="A712" s="278" t="s">
        <v>57</v>
      </c>
      <c r="B712" s="278" t="s">
        <v>60</v>
      </c>
      <c r="C712" s="278"/>
      <c r="D712" s="278"/>
      <c r="E712" s="264">
        <v>17680</v>
      </c>
      <c r="F712" s="264"/>
      <c r="G712" s="264">
        <v>260062761</v>
      </c>
      <c r="H712" s="264">
        <v>53569</v>
      </c>
      <c r="I712" s="264"/>
      <c r="J712" s="264">
        <v>231222443</v>
      </c>
    </row>
    <row r="713" spans="1:10" ht="14.1" customHeight="1" x14ac:dyDescent="0.2">
      <c r="A713" s="278"/>
      <c r="B713" s="261" t="s">
        <v>71</v>
      </c>
      <c r="C713" s="261" t="s">
        <v>72</v>
      </c>
      <c r="D713" s="261" t="s">
        <v>73</v>
      </c>
      <c r="E713" s="281">
        <v>159</v>
      </c>
      <c r="F713" s="281">
        <v>11382</v>
      </c>
      <c r="G713" s="281">
        <v>1809812</v>
      </c>
      <c r="H713" s="281">
        <v>0</v>
      </c>
      <c r="I713" s="281">
        <v>0</v>
      </c>
      <c r="J713" s="281">
        <v>1809812</v>
      </c>
    </row>
    <row r="714" spans="1:10" ht="14.1" customHeight="1" x14ac:dyDescent="0.2">
      <c r="A714" s="278"/>
      <c r="B714" s="279" t="s">
        <v>74</v>
      </c>
      <c r="C714" s="262" t="s">
        <v>75</v>
      </c>
      <c r="D714" s="261" t="s">
        <v>77</v>
      </c>
      <c r="E714" s="282"/>
      <c r="F714" s="282"/>
      <c r="G714" s="282"/>
      <c r="H714" s="282"/>
      <c r="I714" s="282"/>
      <c r="J714" s="282"/>
    </row>
    <row r="715" spans="1:10" ht="42.95" customHeight="1" x14ac:dyDescent="0.2">
      <c r="A715" s="278"/>
      <c r="B715" s="278"/>
      <c r="C715" s="263" t="s">
        <v>243</v>
      </c>
      <c r="D715" s="261" t="s">
        <v>79</v>
      </c>
      <c r="E715" s="264">
        <v>6</v>
      </c>
      <c r="F715" s="264">
        <v>12852</v>
      </c>
      <c r="G715" s="264">
        <v>77110</v>
      </c>
      <c r="H715" s="264">
        <v>2657</v>
      </c>
      <c r="I715" s="264">
        <v>15942</v>
      </c>
      <c r="J715" s="264">
        <v>61168</v>
      </c>
    </row>
    <row r="716" spans="1:10" ht="42.95" customHeight="1" x14ac:dyDescent="0.2">
      <c r="A716" s="278"/>
      <c r="B716" s="278"/>
      <c r="C716" s="263" t="s">
        <v>245</v>
      </c>
      <c r="D716" s="261" t="s">
        <v>79</v>
      </c>
      <c r="E716" s="264">
        <v>1545</v>
      </c>
      <c r="F716" s="264">
        <v>12172</v>
      </c>
      <c r="G716" s="264">
        <v>18806431</v>
      </c>
      <c r="H716" s="264">
        <v>1978</v>
      </c>
      <c r="I716" s="264">
        <v>3055766</v>
      </c>
      <c r="J716" s="264">
        <v>15750665</v>
      </c>
    </row>
    <row r="717" spans="1:10" ht="42.95" customHeight="1" x14ac:dyDescent="0.2">
      <c r="A717" s="278"/>
      <c r="B717" s="277" t="s">
        <v>246</v>
      </c>
      <c r="C717" s="280" t="s">
        <v>75</v>
      </c>
      <c r="D717" s="261" t="s">
        <v>91</v>
      </c>
      <c r="E717" s="264">
        <v>2</v>
      </c>
      <c r="F717" s="264">
        <v>18108</v>
      </c>
      <c r="G717" s="264">
        <v>36216</v>
      </c>
      <c r="H717" s="264">
        <v>0</v>
      </c>
      <c r="I717" s="264">
        <v>0</v>
      </c>
      <c r="J717" s="264">
        <v>36216</v>
      </c>
    </row>
    <row r="718" spans="1:10" ht="14.1" customHeight="1" x14ac:dyDescent="0.2">
      <c r="A718" s="278"/>
      <c r="B718" s="278"/>
      <c r="C718" s="278"/>
      <c r="D718" s="261" t="s">
        <v>90</v>
      </c>
      <c r="E718" s="264">
        <v>25</v>
      </c>
      <c r="F718" s="264">
        <v>7696</v>
      </c>
      <c r="G718" s="264">
        <v>192389</v>
      </c>
      <c r="H718" s="264">
        <v>0</v>
      </c>
      <c r="I718" s="264">
        <v>0</v>
      </c>
      <c r="J718" s="264">
        <v>192389</v>
      </c>
    </row>
    <row r="719" spans="1:10" ht="14.1" customHeight="1" x14ac:dyDescent="0.2">
      <c r="A719" s="278"/>
      <c r="B719" s="278"/>
      <c r="C719" s="278"/>
      <c r="D719" s="261" t="s">
        <v>98</v>
      </c>
      <c r="E719" s="264">
        <v>1</v>
      </c>
      <c r="F719" s="264">
        <v>2717</v>
      </c>
      <c r="G719" s="264">
        <v>2717</v>
      </c>
      <c r="H719" s="264">
        <v>0</v>
      </c>
      <c r="I719" s="264">
        <v>0</v>
      </c>
      <c r="J719" s="264">
        <v>2717</v>
      </c>
    </row>
    <row r="720" spans="1:10" ht="14.1" customHeight="1" x14ac:dyDescent="0.2">
      <c r="A720" s="278"/>
      <c r="B720" s="278"/>
      <c r="C720" s="278"/>
      <c r="D720" s="261" t="s">
        <v>76</v>
      </c>
      <c r="E720" s="264">
        <v>184</v>
      </c>
      <c r="F720" s="264">
        <v>36385</v>
      </c>
      <c r="G720" s="264">
        <v>6694906</v>
      </c>
      <c r="H720" s="264">
        <v>0</v>
      </c>
      <c r="I720" s="264">
        <v>0</v>
      </c>
      <c r="J720" s="264">
        <v>6694906</v>
      </c>
    </row>
    <row r="721" spans="1:10" ht="14.1" customHeight="1" x14ac:dyDescent="0.2">
      <c r="A721" s="278"/>
      <c r="B721" s="278"/>
      <c r="C721" s="278"/>
      <c r="D721" s="261" t="s">
        <v>155</v>
      </c>
      <c r="E721" s="264">
        <v>5</v>
      </c>
      <c r="F721" s="264">
        <v>4362</v>
      </c>
      <c r="G721" s="264">
        <v>21811</v>
      </c>
      <c r="H721" s="264">
        <v>0</v>
      </c>
      <c r="I721" s="264">
        <v>0</v>
      </c>
      <c r="J721" s="264">
        <v>21811</v>
      </c>
    </row>
    <row r="722" spans="1:10" ht="14.1" customHeight="1" x14ac:dyDescent="0.2">
      <c r="A722" s="278"/>
      <c r="B722" s="278"/>
      <c r="C722" s="278"/>
      <c r="D722" s="261" t="s">
        <v>151</v>
      </c>
      <c r="E722" s="264">
        <v>31</v>
      </c>
      <c r="F722" s="264">
        <v>5752</v>
      </c>
      <c r="G722" s="264">
        <v>178325</v>
      </c>
      <c r="H722" s="264">
        <v>0</v>
      </c>
      <c r="I722" s="264">
        <v>0</v>
      </c>
      <c r="J722" s="264">
        <v>178325</v>
      </c>
    </row>
    <row r="723" spans="1:10" ht="42.95" customHeight="1" x14ac:dyDescent="0.2">
      <c r="A723" s="278"/>
      <c r="B723" s="278"/>
      <c r="C723" s="277" t="s">
        <v>243</v>
      </c>
      <c r="D723" s="261" t="s">
        <v>83</v>
      </c>
      <c r="E723" s="264">
        <v>11</v>
      </c>
      <c r="F723" s="264">
        <v>3452</v>
      </c>
      <c r="G723" s="264">
        <v>37970</v>
      </c>
      <c r="H723" s="264">
        <v>1469</v>
      </c>
      <c r="I723" s="264">
        <v>16161</v>
      </c>
      <c r="J723" s="264">
        <v>21809</v>
      </c>
    </row>
    <row r="724" spans="1:10" ht="14.1" customHeight="1" x14ac:dyDescent="0.2">
      <c r="A724" s="278"/>
      <c r="B724" s="278"/>
      <c r="C724" s="278"/>
      <c r="D724" s="261" t="s">
        <v>96</v>
      </c>
      <c r="E724" s="264">
        <v>1</v>
      </c>
      <c r="F724" s="264">
        <v>4186</v>
      </c>
      <c r="G724" s="264">
        <v>4186</v>
      </c>
      <c r="H724" s="264">
        <v>1469</v>
      </c>
      <c r="I724" s="264">
        <v>1469</v>
      </c>
      <c r="J724" s="264">
        <v>2717</v>
      </c>
    </row>
    <row r="725" spans="1:10" ht="14.1" customHeight="1" x14ac:dyDescent="0.2">
      <c r="A725" s="278"/>
      <c r="B725" s="278"/>
      <c r="C725" s="278"/>
      <c r="D725" s="261" t="s">
        <v>78</v>
      </c>
      <c r="E725" s="264">
        <v>5</v>
      </c>
      <c r="F725" s="264">
        <v>37855</v>
      </c>
      <c r="G725" s="264">
        <v>189273</v>
      </c>
      <c r="H725" s="264">
        <v>1469</v>
      </c>
      <c r="I725" s="264">
        <v>7346</v>
      </c>
      <c r="J725" s="264">
        <v>181927</v>
      </c>
    </row>
    <row r="726" spans="1:10" ht="42.95" customHeight="1" x14ac:dyDescent="0.2">
      <c r="A726" s="278"/>
      <c r="B726" s="278"/>
      <c r="C726" s="277" t="s">
        <v>245</v>
      </c>
      <c r="D726" s="261" t="s">
        <v>83</v>
      </c>
      <c r="E726" s="264">
        <v>270</v>
      </c>
      <c r="F726" s="264">
        <v>2773</v>
      </c>
      <c r="G726" s="264">
        <v>748613</v>
      </c>
      <c r="H726" s="264">
        <v>790</v>
      </c>
      <c r="I726" s="264">
        <v>213295</v>
      </c>
      <c r="J726" s="264">
        <v>535318</v>
      </c>
    </row>
    <row r="727" spans="1:10" ht="14.1" customHeight="1" x14ac:dyDescent="0.2">
      <c r="A727" s="278"/>
      <c r="B727" s="278"/>
      <c r="C727" s="278"/>
      <c r="D727" s="261" t="s">
        <v>92</v>
      </c>
      <c r="E727" s="264">
        <v>82</v>
      </c>
      <c r="F727" s="264">
        <v>31120</v>
      </c>
      <c r="G727" s="264">
        <v>2551875</v>
      </c>
      <c r="H727" s="264">
        <v>790</v>
      </c>
      <c r="I727" s="264">
        <v>64778</v>
      </c>
      <c r="J727" s="264">
        <v>2487096</v>
      </c>
    </row>
    <row r="728" spans="1:10" ht="14.1" customHeight="1" x14ac:dyDescent="0.2">
      <c r="A728" s="278"/>
      <c r="B728" s="278"/>
      <c r="C728" s="278"/>
      <c r="D728" s="261" t="s">
        <v>86</v>
      </c>
      <c r="E728" s="264">
        <v>57</v>
      </c>
      <c r="F728" s="264">
        <v>18898</v>
      </c>
      <c r="G728" s="264">
        <v>1077179</v>
      </c>
      <c r="H728" s="264">
        <v>790</v>
      </c>
      <c r="I728" s="264">
        <v>45029</v>
      </c>
      <c r="J728" s="264">
        <v>1032150</v>
      </c>
    </row>
    <row r="729" spans="1:10" ht="14.1" customHeight="1" x14ac:dyDescent="0.2">
      <c r="A729" s="278"/>
      <c r="B729" s="278"/>
      <c r="C729" s="278"/>
      <c r="D729" s="261" t="s">
        <v>87</v>
      </c>
      <c r="E729" s="264">
        <v>33</v>
      </c>
      <c r="F729" s="264">
        <v>12107</v>
      </c>
      <c r="G729" s="264">
        <v>399529</v>
      </c>
      <c r="H729" s="264">
        <v>790</v>
      </c>
      <c r="I729" s="264">
        <v>26069</v>
      </c>
      <c r="J729" s="264">
        <v>373460</v>
      </c>
    </row>
    <row r="730" spans="1:10" ht="14.1" customHeight="1" x14ac:dyDescent="0.2">
      <c r="A730" s="278"/>
      <c r="B730" s="278"/>
      <c r="C730" s="278"/>
      <c r="D730" s="261" t="s">
        <v>84</v>
      </c>
      <c r="E730" s="264">
        <v>119</v>
      </c>
      <c r="F730" s="264">
        <v>8486</v>
      </c>
      <c r="G730" s="264">
        <v>1009780</v>
      </c>
      <c r="H730" s="264">
        <v>790</v>
      </c>
      <c r="I730" s="264">
        <v>94008</v>
      </c>
      <c r="J730" s="264">
        <v>915773</v>
      </c>
    </row>
    <row r="731" spans="1:10" ht="14.1" customHeight="1" x14ac:dyDescent="0.2">
      <c r="A731" s="278"/>
      <c r="B731" s="278"/>
      <c r="C731" s="278"/>
      <c r="D731" s="261" t="s">
        <v>85</v>
      </c>
      <c r="E731" s="264">
        <v>26</v>
      </c>
      <c r="F731" s="264">
        <v>5771</v>
      </c>
      <c r="G731" s="264">
        <v>150039</v>
      </c>
      <c r="H731" s="264">
        <v>790</v>
      </c>
      <c r="I731" s="264">
        <v>20539</v>
      </c>
      <c r="J731" s="264">
        <v>129499</v>
      </c>
    </row>
    <row r="732" spans="1:10" ht="14.1" customHeight="1" x14ac:dyDescent="0.2">
      <c r="A732" s="278"/>
      <c r="B732" s="278"/>
      <c r="C732" s="278"/>
      <c r="D732" s="261" t="s">
        <v>96</v>
      </c>
      <c r="E732" s="264">
        <v>192</v>
      </c>
      <c r="F732" s="264">
        <v>3510</v>
      </c>
      <c r="G732" s="264">
        <v>673974</v>
      </c>
      <c r="H732" s="264">
        <v>790</v>
      </c>
      <c r="I732" s="264">
        <v>151676</v>
      </c>
      <c r="J732" s="264">
        <v>522298</v>
      </c>
    </row>
    <row r="733" spans="1:10" ht="14.1" customHeight="1" x14ac:dyDescent="0.2">
      <c r="A733" s="278"/>
      <c r="B733" s="278"/>
      <c r="C733" s="278"/>
      <c r="D733" s="261" t="s">
        <v>88</v>
      </c>
      <c r="E733" s="264">
        <v>1</v>
      </c>
      <c r="F733" s="264">
        <v>2149</v>
      </c>
      <c r="G733" s="264">
        <v>2149</v>
      </c>
      <c r="H733" s="264">
        <v>790</v>
      </c>
      <c r="I733" s="264">
        <v>790</v>
      </c>
      <c r="J733" s="264">
        <v>1359</v>
      </c>
    </row>
    <row r="734" spans="1:10" ht="14.1" customHeight="1" x14ac:dyDescent="0.2">
      <c r="A734" s="278"/>
      <c r="B734" s="278"/>
      <c r="C734" s="278"/>
      <c r="D734" s="261" t="s">
        <v>78</v>
      </c>
      <c r="E734" s="264">
        <v>2450</v>
      </c>
      <c r="F734" s="264">
        <v>37175</v>
      </c>
      <c r="G734" s="264">
        <v>91079576</v>
      </c>
      <c r="H734" s="264">
        <v>790</v>
      </c>
      <c r="I734" s="264">
        <v>1935453</v>
      </c>
      <c r="J734" s="264">
        <v>89144123</v>
      </c>
    </row>
    <row r="735" spans="1:10" ht="14.1" customHeight="1" x14ac:dyDescent="0.2">
      <c r="A735" s="278"/>
      <c r="B735" s="278"/>
      <c r="C735" s="278"/>
      <c r="D735" s="261" t="s">
        <v>152</v>
      </c>
      <c r="E735" s="264">
        <v>74</v>
      </c>
      <c r="F735" s="264">
        <v>28002</v>
      </c>
      <c r="G735" s="264">
        <v>2072143</v>
      </c>
      <c r="H735" s="264">
        <v>790</v>
      </c>
      <c r="I735" s="264">
        <v>58459</v>
      </c>
      <c r="J735" s="264">
        <v>2013684</v>
      </c>
    </row>
    <row r="736" spans="1:10" ht="14.1" customHeight="1" x14ac:dyDescent="0.2">
      <c r="A736" s="278"/>
      <c r="B736" s="278"/>
      <c r="C736" s="278"/>
      <c r="D736" s="261" t="s">
        <v>153</v>
      </c>
      <c r="E736" s="264">
        <v>596</v>
      </c>
      <c r="F736" s="264">
        <v>5154</v>
      </c>
      <c r="G736" s="264">
        <v>3072079</v>
      </c>
      <c r="H736" s="264">
        <v>790</v>
      </c>
      <c r="I736" s="264">
        <v>470829</v>
      </c>
      <c r="J736" s="264">
        <v>2601250</v>
      </c>
    </row>
    <row r="737" spans="1:10" ht="14.1" customHeight="1" x14ac:dyDescent="0.2">
      <c r="A737" s="278"/>
      <c r="B737" s="278"/>
      <c r="C737" s="278"/>
      <c r="D737" s="261" t="s">
        <v>154</v>
      </c>
      <c r="E737" s="264">
        <v>391</v>
      </c>
      <c r="F737" s="264">
        <v>6542</v>
      </c>
      <c r="G737" s="264">
        <v>2558074</v>
      </c>
      <c r="H737" s="264">
        <v>790</v>
      </c>
      <c r="I737" s="264">
        <v>308882</v>
      </c>
      <c r="J737" s="264">
        <v>2249192</v>
      </c>
    </row>
    <row r="738" spans="1:10" ht="29.1" customHeight="1" x14ac:dyDescent="0.2">
      <c r="A738" s="278"/>
      <c r="B738" s="277" t="s">
        <v>247</v>
      </c>
      <c r="C738" s="280" t="s">
        <v>75</v>
      </c>
      <c r="D738" s="261" t="s">
        <v>91</v>
      </c>
      <c r="E738" s="264">
        <v>50</v>
      </c>
      <c r="F738" s="264">
        <v>18108</v>
      </c>
      <c r="G738" s="264">
        <v>905395</v>
      </c>
      <c r="H738" s="264">
        <v>1188</v>
      </c>
      <c r="I738" s="264">
        <v>59393</v>
      </c>
      <c r="J738" s="264">
        <v>846002</v>
      </c>
    </row>
    <row r="739" spans="1:10" ht="14.1" customHeight="1" x14ac:dyDescent="0.2">
      <c r="A739" s="278"/>
      <c r="B739" s="278"/>
      <c r="C739" s="278"/>
      <c r="D739" s="261" t="s">
        <v>97</v>
      </c>
      <c r="E739" s="264">
        <v>7</v>
      </c>
      <c r="F739" s="264">
        <v>11317</v>
      </c>
      <c r="G739" s="264">
        <v>79219</v>
      </c>
      <c r="H739" s="264">
        <v>1188</v>
      </c>
      <c r="I739" s="264">
        <v>8315</v>
      </c>
      <c r="J739" s="264">
        <v>70904</v>
      </c>
    </row>
    <row r="740" spans="1:10" ht="14.1" customHeight="1" x14ac:dyDescent="0.2">
      <c r="A740" s="278"/>
      <c r="B740" s="278"/>
      <c r="C740" s="278"/>
      <c r="D740" s="261" t="s">
        <v>90</v>
      </c>
      <c r="E740" s="264">
        <v>374</v>
      </c>
      <c r="F740" s="264">
        <v>7696</v>
      </c>
      <c r="G740" s="264">
        <v>2878143</v>
      </c>
      <c r="H740" s="264">
        <v>1188</v>
      </c>
      <c r="I740" s="264">
        <v>444260</v>
      </c>
      <c r="J740" s="264">
        <v>2433882</v>
      </c>
    </row>
    <row r="741" spans="1:10" ht="14.1" customHeight="1" x14ac:dyDescent="0.2">
      <c r="A741" s="278"/>
      <c r="B741" s="278"/>
      <c r="C741" s="278"/>
      <c r="D741" s="261" t="s">
        <v>100</v>
      </c>
      <c r="E741" s="264">
        <v>3</v>
      </c>
      <c r="F741" s="264">
        <v>4981</v>
      </c>
      <c r="G741" s="264">
        <v>14942</v>
      </c>
      <c r="H741" s="264">
        <v>1188</v>
      </c>
      <c r="I741" s="264">
        <v>3564</v>
      </c>
      <c r="J741" s="264">
        <v>11379</v>
      </c>
    </row>
    <row r="742" spans="1:10" ht="14.1" customHeight="1" x14ac:dyDescent="0.2">
      <c r="A742" s="278"/>
      <c r="B742" s="278"/>
      <c r="C742" s="278"/>
      <c r="D742" s="261" t="s">
        <v>98</v>
      </c>
      <c r="E742" s="264">
        <v>6</v>
      </c>
      <c r="F742" s="264">
        <v>2717</v>
      </c>
      <c r="G742" s="264">
        <v>16301</v>
      </c>
      <c r="H742" s="264">
        <v>1188</v>
      </c>
      <c r="I742" s="264">
        <v>7127</v>
      </c>
      <c r="J742" s="264">
        <v>9173</v>
      </c>
    </row>
    <row r="743" spans="1:10" ht="42.95" customHeight="1" x14ac:dyDescent="0.2">
      <c r="A743" s="278"/>
      <c r="B743" s="278"/>
      <c r="C743" s="277" t="s">
        <v>243</v>
      </c>
      <c r="D743" s="261" t="s">
        <v>86</v>
      </c>
      <c r="E743" s="264">
        <v>5</v>
      </c>
      <c r="F743" s="264">
        <v>19577</v>
      </c>
      <c r="G743" s="264">
        <v>97885</v>
      </c>
      <c r="H743" s="264">
        <v>2657</v>
      </c>
      <c r="I743" s="264">
        <v>13285</v>
      </c>
      <c r="J743" s="264">
        <v>84600</v>
      </c>
    </row>
    <row r="744" spans="1:10" ht="14.1" customHeight="1" x14ac:dyDescent="0.2">
      <c r="A744" s="278"/>
      <c r="B744" s="278"/>
      <c r="C744" s="278"/>
      <c r="D744" s="261" t="s">
        <v>87</v>
      </c>
      <c r="E744" s="264">
        <v>3</v>
      </c>
      <c r="F744" s="264">
        <v>12786</v>
      </c>
      <c r="G744" s="264">
        <v>38358</v>
      </c>
      <c r="H744" s="264">
        <v>2657</v>
      </c>
      <c r="I744" s="264">
        <v>7971</v>
      </c>
      <c r="J744" s="264">
        <v>30387</v>
      </c>
    </row>
    <row r="745" spans="1:10" ht="14.1" customHeight="1" x14ac:dyDescent="0.2">
      <c r="A745" s="278"/>
      <c r="B745" s="278"/>
      <c r="C745" s="278"/>
      <c r="D745" s="261" t="s">
        <v>84</v>
      </c>
      <c r="E745" s="264">
        <v>173</v>
      </c>
      <c r="F745" s="264">
        <v>9165</v>
      </c>
      <c r="G745" s="264">
        <v>1585500</v>
      </c>
      <c r="H745" s="264">
        <v>2657</v>
      </c>
      <c r="I745" s="264">
        <v>459667</v>
      </c>
      <c r="J745" s="264">
        <v>1125833</v>
      </c>
    </row>
    <row r="746" spans="1:10" ht="14.1" customHeight="1" x14ac:dyDescent="0.2">
      <c r="A746" s="278"/>
      <c r="B746" s="278"/>
      <c r="C746" s="278"/>
      <c r="D746" s="261" t="s">
        <v>96</v>
      </c>
      <c r="E746" s="264">
        <v>2</v>
      </c>
      <c r="F746" s="264">
        <v>4186</v>
      </c>
      <c r="G746" s="264">
        <v>8372</v>
      </c>
      <c r="H746" s="264">
        <v>2657</v>
      </c>
      <c r="I746" s="264">
        <v>5314</v>
      </c>
      <c r="J746" s="264">
        <v>3058</v>
      </c>
    </row>
    <row r="747" spans="1:10" ht="14.1" customHeight="1" x14ac:dyDescent="0.2">
      <c r="A747" s="278"/>
      <c r="B747" s="278"/>
      <c r="C747" s="278"/>
      <c r="D747" s="261" t="s">
        <v>88</v>
      </c>
      <c r="E747" s="264">
        <v>3</v>
      </c>
      <c r="F747" s="264">
        <v>2829</v>
      </c>
      <c r="G747" s="264">
        <v>8486</v>
      </c>
      <c r="H747" s="264">
        <v>2657</v>
      </c>
      <c r="I747" s="264">
        <v>7971</v>
      </c>
      <c r="J747" s="264">
        <v>514</v>
      </c>
    </row>
    <row r="748" spans="1:10" ht="42.95" customHeight="1" x14ac:dyDescent="0.2">
      <c r="A748" s="278"/>
      <c r="B748" s="278"/>
      <c r="C748" s="277" t="s">
        <v>245</v>
      </c>
      <c r="D748" s="261" t="s">
        <v>102</v>
      </c>
      <c r="E748" s="264">
        <v>1</v>
      </c>
      <c r="F748" s="264">
        <v>97664</v>
      </c>
      <c r="G748" s="264">
        <v>97664</v>
      </c>
      <c r="H748" s="264">
        <v>1978</v>
      </c>
      <c r="I748" s="264">
        <v>1978</v>
      </c>
      <c r="J748" s="264">
        <v>95686</v>
      </c>
    </row>
    <row r="749" spans="1:10" ht="14.1" customHeight="1" x14ac:dyDescent="0.2">
      <c r="A749" s="278"/>
      <c r="B749" s="278"/>
      <c r="C749" s="278"/>
      <c r="D749" s="261" t="s">
        <v>92</v>
      </c>
      <c r="E749" s="264">
        <v>200</v>
      </c>
      <c r="F749" s="264">
        <v>31120</v>
      </c>
      <c r="G749" s="264">
        <v>6224085</v>
      </c>
      <c r="H749" s="264">
        <v>1978</v>
      </c>
      <c r="I749" s="264">
        <v>395568</v>
      </c>
      <c r="J749" s="264">
        <v>5828516</v>
      </c>
    </row>
    <row r="750" spans="1:10" ht="14.1" customHeight="1" x14ac:dyDescent="0.2">
      <c r="A750" s="278"/>
      <c r="B750" s="278"/>
      <c r="C750" s="278"/>
      <c r="D750" s="261" t="s">
        <v>86</v>
      </c>
      <c r="E750" s="264">
        <v>1726</v>
      </c>
      <c r="F750" s="264">
        <v>18898</v>
      </c>
      <c r="G750" s="264">
        <v>32617742</v>
      </c>
      <c r="H750" s="264">
        <v>1978</v>
      </c>
      <c r="I750" s="264">
        <v>3413755</v>
      </c>
      <c r="J750" s="264">
        <v>29203987</v>
      </c>
    </row>
    <row r="751" spans="1:10" ht="14.1" customHeight="1" x14ac:dyDescent="0.2">
      <c r="A751" s="278"/>
      <c r="B751" s="278"/>
      <c r="C751" s="278"/>
      <c r="D751" s="261" t="s">
        <v>87</v>
      </c>
      <c r="E751" s="264">
        <v>2635</v>
      </c>
      <c r="F751" s="264">
        <v>12107</v>
      </c>
      <c r="G751" s="264">
        <v>31901777</v>
      </c>
      <c r="H751" s="264">
        <v>1978</v>
      </c>
      <c r="I751" s="264">
        <v>5211614</v>
      </c>
      <c r="J751" s="264">
        <v>26690164</v>
      </c>
    </row>
    <row r="752" spans="1:10" ht="14.1" customHeight="1" x14ac:dyDescent="0.2">
      <c r="A752" s="278"/>
      <c r="B752" s="278"/>
      <c r="C752" s="278"/>
      <c r="D752" s="261" t="s">
        <v>84</v>
      </c>
      <c r="E752" s="264">
        <v>5665</v>
      </c>
      <c r="F752" s="264">
        <v>8486</v>
      </c>
      <c r="G752" s="264">
        <v>48070636</v>
      </c>
      <c r="H752" s="264">
        <v>1978</v>
      </c>
      <c r="I752" s="264">
        <v>11204475</v>
      </c>
      <c r="J752" s="264">
        <v>36866161</v>
      </c>
    </row>
    <row r="753" spans="1:10" ht="14.1" customHeight="1" x14ac:dyDescent="0.2">
      <c r="A753" s="278"/>
      <c r="B753" s="278"/>
      <c r="C753" s="278"/>
      <c r="D753" s="261" t="s">
        <v>85</v>
      </c>
      <c r="E753" s="264">
        <v>186</v>
      </c>
      <c r="F753" s="264">
        <v>5771</v>
      </c>
      <c r="G753" s="264">
        <v>1073353</v>
      </c>
      <c r="H753" s="264">
        <v>1978</v>
      </c>
      <c r="I753" s="264">
        <v>367879</v>
      </c>
      <c r="J753" s="264">
        <v>705474</v>
      </c>
    </row>
    <row r="754" spans="1:10" ht="14.1" customHeight="1" x14ac:dyDescent="0.2">
      <c r="A754" s="278"/>
      <c r="B754" s="278"/>
      <c r="C754" s="278"/>
      <c r="D754" s="261" t="s">
        <v>96</v>
      </c>
      <c r="E754" s="264">
        <v>142</v>
      </c>
      <c r="F754" s="264">
        <v>3507</v>
      </c>
      <c r="G754" s="264">
        <v>497958</v>
      </c>
      <c r="H754" s="264">
        <v>1978</v>
      </c>
      <c r="I754" s="264">
        <v>280854</v>
      </c>
      <c r="J754" s="264">
        <v>217104</v>
      </c>
    </row>
    <row r="755" spans="1:10" ht="14.1" customHeight="1" x14ac:dyDescent="0.2">
      <c r="A755" s="278"/>
      <c r="B755" s="278"/>
      <c r="C755" s="278"/>
      <c r="D755" s="261" t="s">
        <v>88</v>
      </c>
      <c r="E755" s="264">
        <v>233</v>
      </c>
      <c r="F755" s="264">
        <v>2149</v>
      </c>
      <c r="G755" s="264">
        <v>500793</v>
      </c>
      <c r="H755" s="264">
        <v>1978</v>
      </c>
      <c r="I755" s="264">
        <v>460837</v>
      </c>
      <c r="J755" s="264">
        <v>39956</v>
      </c>
    </row>
    <row r="756" spans="1:10" ht="29.1" customHeight="1" x14ac:dyDescent="0.2">
      <c r="A756" s="277" t="s">
        <v>255</v>
      </c>
      <c r="B756" s="278" t="s">
        <v>60</v>
      </c>
      <c r="C756" s="278"/>
      <c r="D756" s="278"/>
      <c r="E756" s="264">
        <v>1167</v>
      </c>
      <c r="F756" s="264"/>
      <c r="G756" s="264">
        <v>19924833</v>
      </c>
      <c r="H756" s="264">
        <v>15871</v>
      </c>
      <c r="I756" s="264"/>
      <c r="J756" s="264">
        <v>18405690</v>
      </c>
    </row>
    <row r="757" spans="1:10" ht="14.1" customHeight="1" x14ac:dyDescent="0.2">
      <c r="A757" s="278"/>
      <c r="B757" s="261" t="s">
        <v>71</v>
      </c>
      <c r="C757" s="261" t="s">
        <v>72</v>
      </c>
      <c r="D757" s="261" t="s">
        <v>73</v>
      </c>
      <c r="E757" s="281">
        <v>10</v>
      </c>
      <c r="F757" s="281">
        <v>12172</v>
      </c>
      <c r="G757" s="281">
        <v>121724</v>
      </c>
      <c r="H757" s="281">
        <v>1978</v>
      </c>
      <c r="I757" s="281">
        <v>19778</v>
      </c>
      <c r="J757" s="281">
        <v>101946</v>
      </c>
    </row>
    <row r="758" spans="1:10" ht="42.95" customHeight="1" x14ac:dyDescent="0.2">
      <c r="A758" s="278"/>
      <c r="B758" s="265" t="s">
        <v>74</v>
      </c>
      <c r="C758" s="263" t="s">
        <v>245</v>
      </c>
      <c r="D758" s="261" t="s">
        <v>79</v>
      </c>
      <c r="E758" s="282"/>
      <c r="F758" s="282"/>
      <c r="G758" s="282"/>
      <c r="H758" s="282"/>
      <c r="I758" s="282"/>
      <c r="J758" s="282"/>
    </row>
    <row r="759" spans="1:10" ht="42.95" customHeight="1" x14ac:dyDescent="0.2">
      <c r="A759" s="278"/>
      <c r="B759" s="277" t="s">
        <v>246</v>
      </c>
      <c r="C759" s="280" t="s">
        <v>75</v>
      </c>
      <c r="D759" s="261" t="s">
        <v>99</v>
      </c>
      <c r="E759" s="264">
        <v>1</v>
      </c>
      <c r="F759" s="264">
        <v>30330</v>
      </c>
      <c r="G759" s="264">
        <v>30330</v>
      </c>
      <c r="H759" s="264">
        <v>0</v>
      </c>
      <c r="I759" s="264">
        <v>0</v>
      </c>
      <c r="J759" s="264">
        <v>30330</v>
      </c>
    </row>
    <row r="760" spans="1:10" ht="14.1" customHeight="1" x14ac:dyDescent="0.2">
      <c r="A760" s="278"/>
      <c r="B760" s="278"/>
      <c r="C760" s="278"/>
      <c r="D760" s="261" t="s">
        <v>91</v>
      </c>
      <c r="E760" s="264">
        <v>4</v>
      </c>
      <c r="F760" s="264">
        <v>18108</v>
      </c>
      <c r="G760" s="264">
        <v>72432</v>
      </c>
      <c r="H760" s="264">
        <v>0</v>
      </c>
      <c r="I760" s="264">
        <v>0</v>
      </c>
      <c r="J760" s="264">
        <v>72432</v>
      </c>
    </row>
    <row r="761" spans="1:10" ht="14.1" customHeight="1" x14ac:dyDescent="0.2">
      <c r="A761" s="278"/>
      <c r="B761" s="278"/>
      <c r="C761" s="278"/>
      <c r="D761" s="261" t="s">
        <v>97</v>
      </c>
      <c r="E761" s="264">
        <v>2</v>
      </c>
      <c r="F761" s="264">
        <v>11317</v>
      </c>
      <c r="G761" s="264">
        <v>22634</v>
      </c>
      <c r="H761" s="264">
        <v>0</v>
      </c>
      <c r="I761" s="264">
        <v>0</v>
      </c>
      <c r="J761" s="264">
        <v>22634</v>
      </c>
    </row>
    <row r="762" spans="1:10" ht="42.95" customHeight="1" x14ac:dyDescent="0.2">
      <c r="A762" s="278"/>
      <c r="B762" s="278"/>
      <c r="C762" s="277" t="s">
        <v>243</v>
      </c>
      <c r="D762" s="261" t="s">
        <v>84</v>
      </c>
      <c r="E762" s="264">
        <v>3</v>
      </c>
      <c r="F762" s="264">
        <v>9165</v>
      </c>
      <c r="G762" s="264">
        <v>27494</v>
      </c>
      <c r="H762" s="264">
        <v>1469</v>
      </c>
      <c r="I762" s="264">
        <v>4408</v>
      </c>
      <c r="J762" s="264">
        <v>23087</v>
      </c>
    </row>
    <row r="763" spans="1:10" ht="14.1" customHeight="1" x14ac:dyDescent="0.2">
      <c r="A763" s="278"/>
      <c r="B763" s="278"/>
      <c r="C763" s="278"/>
      <c r="D763" s="261" t="s">
        <v>78</v>
      </c>
      <c r="E763" s="264">
        <v>23</v>
      </c>
      <c r="F763" s="264">
        <v>37855</v>
      </c>
      <c r="G763" s="264">
        <v>870654</v>
      </c>
      <c r="H763" s="264">
        <v>1469</v>
      </c>
      <c r="I763" s="264">
        <v>33791</v>
      </c>
      <c r="J763" s="264">
        <v>836863</v>
      </c>
    </row>
    <row r="764" spans="1:10" ht="14.1" customHeight="1" x14ac:dyDescent="0.2">
      <c r="A764" s="278"/>
      <c r="B764" s="278"/>
      <c r="C764" s="278"/>
      <c r="D764" s="261" t="s">
        <v>152</v>
      </c>
      <c r="E764" s="264">
        <v>1</v>
      </c>
      <c r="F764" s="264">
        <v>28681</v>
      </c>
      <c r="G764" s="264">
        <v>28681</v>
      </c>
      <c r="H764" s="264">
        <v>1469</v>
      </c>
      <c r="I764" s="264">
        <v>1469</v>
      </c>
      <c r="J764" s="264">
        <v>27212</v>
      </c>
    </row>
    <row r="765" spans="1:10" ht="42.95" customHeight="1" x14ac:dyDescent="0.2">
      <c r="A765" s="278"/>
      <c r="B765" s="278"/>
      <c r="C765" s="277" t="s">
        <v>245</v>
      </c>
      <c r="D765" s="261" t="s">
        <v>118</v>
      </c>
      <c r="E765" s="264">
        <v>2</v>
      </c>
      <c r="F765" s="264">
        <v>51490</v>
      </c>
      <c r="G765" s="264">
        <v>102981</v>
      </c>
      <c r="H765" s="264">
        <v>790</v>
      </c>
      <c r="I765" s="264">
        <v>1580</v>
      </c>
      <c r="J765" s="264">
        <v>101401</v>
      </c>
    </row>
    <row r="766" spans="1:10" ht="14.1" customHeight="1" x14ac:dyDescent="0.2">
      <c r="A766" s="278"/>
      <c r="B766" s="278"/>
      <c r="C766" s="278"/>
      <c r="D766" s="261" t="s">
        <v>92</v>
      </c>
      <c r="E766" s="264">
        <v>67</v>
      </c>
      <c r="F766" s="264">
        <v>31120</v>
      </c>
      <c r="G766" s="264">
        <v>2085068</v>
      </c>
      <c r="H766" s="264">
        <v>790</v>
      </c>
      <c r="I766" s="264">
        <v>52929</v>
      </c>
      <c r="J766" s="264">
        <v>2032140</v>
      </c>
    </row>
    <row r="767" spans="1:10" ht="14.1" customHeight="1" x14ac:dyDescent="0.2">
      <c r="A767" s="278"/>
      <c r="B767" s="278"/>
      <c r="C767" s="278"/>
      <c r="D767" s="261" t="s">
        <v>86</v>
      </c>
      <c r="E767" s="264">
        <v>319</v>
      </c>
      <c r="F767" s="264">
        <v>18898</v>
      </c>
      <c r="G767" s="264">
        <v>6028424</v>
      </c>
      <c r="H767" s="264">
        <v>790</v>
      </c>
      <c r="I767" s="264">
        <v>252004</v>
      </c>
      <c r="J767" s="264">
        <v>5776420</v>
      </c>
    </row>
    <row r="768" spans="1:10" ht="14.1" customHeight="1" x14ac:dyDescent="0.2">
      <c r="A768" s="278"/>
      <c r="B768" s="278"/>
      <c r="C768" s="278"/>
      <c r="D768" s="261" t="s">
        <v>87</v>
      </c>
      <c r="E768" s="264">
        <v>42</v>
      </c>
      <c r="F768" s="264">
        <v>12107</v>
      </c>
      <c r="G768" s="264">
        <v>508491</v>
      </c>
      <c r="H768" s="264">
        <v>790</v>
      </c>
      <c r="I768" s="264">
        <v>33179</v>
      </c>
      <c r="J768" s="264">
        <v>475312</v>
      </c>
    </row>
    <row r="769" spans="1:10" ht="14.1" customHeight="1" x14ac:dyDescent="0.2">
      <c r="A769" s="278"/>
      <c r="B769" s="278"/>
      <c r="C769" s="278"/>
      <c r="D769" s="261" t="s">
        <v>84</v>
      </c>
      <c r="E769" s="264">
        <v>56</v>
      </c>
      <c r="F769" s="264">
        <v>8486</v>
      </c>
      <c r="G769" s="264">
        <v>475191</v>
      </c>
      <c r="H769" s="264">
        <v>790</v>
      </c>
      <c r="I769" s="264">
        <v>44239</v>
      </c>
      <c r="J769" s="264">
        <v>430952</v>
      </c>
    </row>
    <row r="770" spans="1:10" ht="14.1" customHeight="1" x14ac:dyDescent="0.2">
      <c r="A770" s="278"/>
      <c r="B770" s="278"/>
      <c r="C770" s="278"/>
      <c r="D770" s="261" t="s">
        <v>78</v>
      </c>
      <c r="E770" s="264">
        <v>121</v>
      </c>
      <c r="F770" s="264">
        <v>37175</v>
      </c>
      <c r="G770" s="264">
        <v>4498216</v>
      </c>
      <c r="H770" s="264">
        <v>790</v>
      </c>
      <c r="I770" s="264">
        <v>95588</v>
      </c>
      <c r="J770" s="264">
        <v>4402628</v>
      </c>
    </row>
    <row r="771" spans="1:10" ht="14.1" customHeight="1" x14ac:dyDescent="0.2">
      <c r="A771" s="278"/>
      <c r="B771" s="278"/>
      <c r="C771" s="278"/>
      <c r="D771" s="261" t="s">
        <v>152</v>
      </c>
      <c r="E771" s="264">
        <v>34</v>
      </c>
      <c r="F771" s="264">
        <v>28002</v>
      </c>
      <c r="G771" s="264">
        <v>952066</v>
      </c>
      <c r="H771" s="264">
        <v>790</v>
      </c>
      <c r="I771" s="264">
        <v>26859</v>
      </c>
      <c r="J771" s="264">
        <v>925206</v>
      </c>
    </row>
    <row r="772" spans="1:10" ht="42.95" customHeight="1" x14ac:dyDescent="0.2">
      <c r="A772" s="278"/>
      <c r="B772" s="277" t="s">
        <v>247</v>
      </c>
      <c r="C772" s="277" t="s">
        <v>245</v>
      </c>
      <c r="D772" s="261" t="s">
        <v>86</v>
      </c>
      <c r="E772" s="264">
        <v>1</v>
      </c>
      <c r="F772" s="264">
        <v>18898</v>
      </c>
      <c r="G772" s="264">
        <v>18898</v>
      </c>
      <c r="H772" s="264">
        <v>1978</v>
      </c>
      <c r="I772" s="264">
        <v>1978</v>
      </c>
      <c r="J772" s="264">
        <v>16920</v>
      </c>
    </row>
    <row r="773" spans="1:10" ht="14.1" customHeight="1" x14ac:dyDescent="0.2">
      <c r="A773" s="278"/>
      <c r="B773" s="278"/>
      <c r="C773" s="278"/>
      <c r="D773" s="261" t="s">
        <v>84</v>
      </c>
      <c r="E773" s="264">
        <v>481</v>
      </c>
      <c r="F773" s="264">
        <v>8486</v>
      </c>
      <c r="G773" s="264">
        <v>4081549</v>
      </c>
      <c r="H773" s="264">
        <v>1978</v>
      </c>
      <c r="I773" s="264">
        <v>951342</v>
      </c>
      <c r="J773" s="264">
        <v>3130207</v>
      </c>
    </row>
    <row r="774" spans="1:10" ht="14.1" customHeight="1" x14ac:dyDescent="0.2">
      <c r="A774" s="278" t="s">
        <v>9</v>
      </c>
      <c r="B774" s="278" t="s">
        <v>60</v>
      </c>
      <c r="C774" s="278"/>
      <c r="D774" s="278"/>
      <c r="E774" s="264">
        <v>272</v>
      </c>
      <c r="F774" s="264"/>
      <c r="G774" s="264">
        <v>10232089</v>
      </c>
      <c r="H774" s="264">
        <v>3049</v>
      </c>
      <c r="I774" s="264"/>
      <c r="J774" s="264">
        <v>10015287</v>
      </c>
    </row>
    <row r="775" spans="1:10" ht="14.1" customHeight="1" x14ac:dyDescent="0.2">
      <c r="A775" s="278"/>
      <c r="B775" s="261" t="s">
        <v>71</v>
      </c>
      <c r="C775" s="261" t="s">
        <v>72</v>
      </c>
      <c r="D775" s="261" t="s">
        <v>73</v>
      </c>
      <c r="E775" s="281">
        <v>1</v>
      </c>
      <c r="F775" s="281">
        <v>36385</v>
      </c>
      <c r="G775" s="281">
        <v>36385</v>
      </c>
      <c r="H775" s="281">
        <v>0</v>
      </c>
      <c r="I775" s="281">
        <v>0</v>
      </c>
      <c r="J775" s="281">
        <v>36385</v>
      </c>
    </row>
    <row r="776" spans="1:10" ht="42.95" customHeight="1" x14ac:dyDescent="0.2">
      <c r="A776" s="278"/>
      <c r="B776" s="277" t="s">
        <v>246</v>
      </c>
      <c r="C776" s="262" t="s">
        <v>75</v>
      </c>
      <c r="D776" s="261" t="s">
        <v>76</v>
      </c>
      <c r="E776" s="282"/>
      <c r="F776" s="282"/>
      <c r="G776" s="282"/>
      <c r="H776" s="282"/>
      <c r="I776" s="282"/>
      <c r="J776" s="282"/>
    </row>
    <row r="777" spans="1:10" ht="42.95" customHeight="1" x14ac:dyDescent="0.2">
      <c r="A777" s="278"/>
      <c r="B777" s="278"/>
      <c r="C777" s="263" t="s">
        <v>243</v>
      </c>
      <c r="D777" s="261" t="s">
        <v>78</v>
      </c>
      <c r="E777" s="264">
        <v>4</v>
      </c>
      <c r="F777" s="264">
        <v>37855</v>
      </c>
      <c r="G777" s="264">
        <v>151418</v>
      </c>
      <c r="H777" s="264">
        <v>1469</v>
      </c>
      <c r="I777" s="264">
        <v>5877</v>
      </c>
      <c r="J777" s="264">
        <v>145541</v>
      </c>
    </row>
    <row r="778" spans="1:10" ht="42.95" customHeight="1" x14ac:dyDescent="0.2">
      <c r="A778" s="278"/>
      <c r="B778" s="278"/>
      <c r="C778" s="277" t="s">
        <v>245</v>
      </c>
      <c r="D778" s="261" t="s">
        <v>96</v>
      </c>
      <c r="E778" s="264">
        <v>1</v>
      </c>
      <c r="F778" s="264">
        <v>4186</v>
      </c>
      <c r="G778" s="264">
        <v>4186</v>
      </c>
      <c r="H778" s="264">
        <v>790</v>
      </c>
      <c r="I778" s="264">
        <v>790</v>
      </c>
      <c r="J778" s="264">
        <v>3396</v>
      </c>
    </row>
    <row r="779" spans="1:10" ht="14.1" customHeight="1" x14ac:dyDescent="0.2">
      <c r="A779" s="278"/>
      <c r="B779" s="278"/>
      <c r="C779" s="278"/>
      <c r="D779" s="261" t="s">
        <v>78</v>
      </c>
      <c r="E779" s="264">
        <v>266</v>
      </c>
      <c r="F779" s="264">
        <v>37745</v>
      </c>
      <c r="G779" s="264">
        <v>10040099</v>
      </c>
      <c r="H779" s="264">
        <v>790</v>
      </c>
      <c r="I779" s="264">
        <v>210135</v>
      </c>
      <c r="J779" s="264">
        <v>9829964</v>
      </c>
    </row>
    <row r="780" spans="1:10" ht="29.1" customHeight="1" x14ac:dyDescent="0.2">
      <c r="A780" s="277" t="s">
        <v>256</v>
      </c>
      <c r="B780" s="278" t="s">
        <v>60</v>
      </c>
      <c r="C780" s="278"/>
      <c r="D780" s="278"/>
      <c r="E780" s="264">
        <v>21255</v>
      </c>
      <c r="F780" s="264"/>
      <c r="G780" s="264">
        <v>310462720</v>
      </c>
      <c r="H780" s="264">
        <v>73402</v>
      </c>
      <c r="I780" s="264"/>
      <c r="J780" s="264">
        <v>282002492</v>
      </c>
    </row>
    <row r="781" spans="1:10" ht="14.1" customHeight="1" x14ac:dyDescent="0.2">
      <c r="A781" s="278"/>
      <c r="B781" s="261" t="s">
        <v>71</v>
      </c>
      <c r="C781" s="261" t="s">
        <v>72</v>
      </c>
      <c r="D781" s="261" t="s">
        <v>73</v>
      </c>
      <c r="E781" s="281">
        <v>5</v>
      </c>
      <c r="F781" s="281">
        <v>11382</v>
      </c>
      <c r="G781" s="281">
        <v>56912</v>
      </c>
      <c r="H781" s="281">
        <v>0</v>
      </c>
      <c r="I781" s="281">
        <v>0</v>
      </c>
      <c r="J781" s="281">
        <v>56912</v>
      </c>
    </row>
    <row r="782" spans="1:10" ht="14.1" customHeight="1" x14ac:dyDescent="0.2">
      <c r="A782" s="278"/>
      <c r="B782" s="279" t="s">
        <v>74</v>
      </c>
      <c r="C782" s="262" t="s">
        <v>75</v>
      </c>
      <c r="D782" s="261" t="s">
        <v>77</v>
      </c>
      <c r="E782" s="282"/>
      <c r="F782" s="282"/>
      <c r="G782" s="282"/>
      <c r="H782" s="282"/>
      <c r="I782" s="282"/>
      <c r="J782" s="282"/>
    </row>
    <row r="783" spans="1:10" ht="42.95" customHeight="1" x14ac:dyDescent="0.2">
      <c r="A783" s="278"/>
      <c r="B783" s="278"/>
      <c r="C783" s="263" t="s">
        <v>243</v>
      </c>
      <c r="D783" s="261" t="s">
        <v>79</v>
      </c>
      <c r="E783" s="264">
        <v>2</v>
      </c>
      <c r="F783" s="264">
        <v>12852</v>
      </c>
      <c r="G783" s="264">
        <v>25703</v>
      </c>
      <c r="H783" s="264">
        <v>2657</v>
      </c>
      <c r="I783" s="264">
        <v>5314</v>
      </c>
      <c r="J783" s="264">
        <v>20389</v>
      </c>
    </row>
    <row r="784" spans="1:10" ht="42.95" customHeight="1" x14ac:dyDescent="0.2">
      <c r="A784" s="278"/>
      <c r="B784" s="278"/>
      <c r="C784" s="263" t="s">
        <v>245</v>
      </c>
      <c r="D784" s="261" t="s">
        <v>79</v>
      </c>
      <c r="E784" s="264">
        <v>4353</v>
      </c>
      <c r="F784" s="264">
        <v>12172</v>
      </c>
      <c r="G784" s="264">
        <v>52986662</v>
      </c>
      <c r="H784" s="264">
        <v>1978</v>
      </c>
      <c r="I784" s="264">
        <v>8609546</v>
      </c>
      <c r="J784" s="264">
        <v>44377116</v>
      </c>
    </row>
    <row r="785" spans="1:10" ht="42.95" customHeight="1" x14ac:dyDescent="0.2">
      <c r="A785" s="278"/>
      <c r="B785" s="279" t="s">
        <v>89</v>
      </c>
      <c r="C785" s="277" t="s">
        <v>243</v>
      </c>
      <c r="D785" s="261" t="s">
        <v>84</v>
      </c>
      <c r="E785" s="264">
        <v>9</v>
      </c>
      <c r="F785" s="264">
        <v>9165</v>
      </c>
      <c r="G785" s="264">
        <v>82483</v>
      </c>
      <c r="H785" s="264">
        <v>2296</v>
      </c>
      <c r="I785" s="264">
        <v>20666</v>
      </c>
      <c r="J785" s="264">
        <v>61817</v>
      </c>
    </row>
    <row r="786" spans="1:10" ht="14.1" customHeight="1" x14ac:dyDescent="0.2">
      <c r="A786" s="278"/>
      <c r="B786" s="278"/>
      <c r="C786" s="278"/>
      <c r="D786" s="261" t="s">
        <v>105</v>
      </c>
      <c r="E786" s="264">
        <v>175</v>
      </c>
      <c r="F786" s="264">
        <v>9435</v>
      </c>
      <c r="G786" s="264">
        <v>1651204</v>
      </c>
      <c r="H786" s="264">
        <v>2567</v>
      </c>
      <c r="I786" s="264">
        <v>449211</v>
      </c>
      <c r="J786" s="264">
        <v>1201993</v>
      </c>
    </row>
    <row r="787" spans="1:10" ht="42.95" customHeight="1" x14ac:dyDescent="0.2">
      <c r="A787" s="278"/>
      <c r="B787" s="278"/>
      <c r="C787" s="277" t="s">
        <v>245</v>
      </c>
      <c r="D787" s="261" t="s">
        <v>101</v>
      </c>
      <c r="E787" s="264">
        <v>1</v>
      </c>
      <c r="F787" s="264">
        <v>17488</v>
      </c>
      <c r="G787" s="264">
        <v>17488</v>
      </c>
      <c r="H787" s="264">
        <v>10619</v>
      </c>
      <c r="I787" s="264">
        <v>10619</v>
      </c>
      <c r="J787" s="264">
        <v>6869</v>
      </c>
    </row>
    <row r="788" spans="1:10" ht="14.1" customHeight="1" x14ac:dyDescent="0.2">
      <c r="A788" s="278"/>
      <c r="B788" s="278"/>
      <c r="C788" s="278"/>
      <c r="D788" s="261" t="s">
        <v>157</v>
      </c>
      <c r="E788" s="264">
        <v>1</v>
      </c>
      <c r="F788" s="264">
        <v>11852</v>
      </c>
      <c r="G788" s="264">
        <v>11852</v>
      </c>
      <c r="H788" s="264">
        <v>4983</v>
      </c>
      <c r="I788" s="264">
        <v>4983</v>
      </c>
      <c r="J788" s="264">
        <v>6869</v>
      </c>
    </row>
    <row r="789" spans="1:10" ht="14.1" customHeight="1" x14ac:dyDescent="0.2">
      <c r="A789" s="278"/>
      <c r="B789" s="278"/>
      <c r="C789" s="278"/>
      <c r="D789" s="261" t="s">
        <v>94</v>
      </c>
      <c r="E789" s="264">
        <v>2</v>
      </c>
      <c r="F789" s="264">
        <v>0</v>
      </c>
      <c r="G789" s="264">
        <v>0</v>
      </c>
      <c r="H789" s="264">
        <v>0</v>
      </c>
      <c r="I789" s="264">
        <v>0</v>
      </c>
      <c r="J789" s="264">
        <v>0</v>
      </c>
    </row>
    <row r="790" spans="1:10" ht="14.1" customHeight="1" x14ac:dyDescent="0.2">
      <c r="A790" s="278"/>
      <c r="B790" s="278"/>
      <c r="C790" s="278"/>
      <c r="D790" s="261" t="s">
        <v>84</v>
      </c>
      <c r="E790" s="264">
        <v>1630</v>
      </c>
      <c r="F790" s="264">
        <v>8486</v>
      </c>
      <c r="G790" s="264">
        <v>13831445</v>
      </c>
      <c r="H790" s="264">
        <v>1617</v>
      </c>
      <c r="I790" s="264">
        <v>2635738</v>
      </c>
      <c r="J790" s="264">
        <v>11195707</v>
      </c>
    </row>
    <row r="791" spans="1:10" ht="14.1" customHeight="1" x14ac:dyDescent="0.2">
      <c r="A791" s="278"/>
      <c r="B791" s="278"/>
      <c r="C791" s="278"/>
      <c r="D791" s="261" t="s">
        <v>90</v>
      </c>
      <c r="E791" s="264">
        <v>2</v>
      </c>
      <c r="F791" s="264">
        <v>7696</v>
      </c>
      <c r="G791" s="264">
        <v>15391</v>
      </c>
      <c r="H791" s="264">
        <v>827</v>
      </c>
      <c r="I791" s="264">
        <v>1654</v>
      </c>
      <c r="J791" s="264">
        <v>13737</v>
      </c>
    </row>
    <row r="792" spans="1:10" ht="14.1" customHeight="1" x14ac:dyDescent="0.2">
      <c r="A792" s="278"/>
      <c r="B792" s="278"/>
      <c r="C792" s="278"/>
      <c r="D792" s="261" t="s">
        <v>105</v>
      </c>
      <c r="E792" s="264">
        <v>2086</v>
      </c>
      <c r="F792" s="264">
        <v>8756</v>
      </c>
      <c r="G792" s="264">
        <v>18265563</v>
      </c>
      <c r="H792" s="264">
        <v>1888</v>
      </c>
      <c r="I792" s="264">
        <v>3937805</v>
      </c>
      <c r="J792" s="264">
        <v>14327757</v>
      </c>
    </row>
    <row r="793" spans="1:10" ht="14.1" customHeight="1" x14ac:dyDescent="0.2">
      <c r="A793" s="278"/>
      <c r="B793" s="278"/>
      <c r="C793" s="278"/>
      <c r="D793" s="261" t="s">
        <v>95</v>
      </c>
      <c r="E793" s="264">
        <v>1</v>
      </c>
      <c r="F793" s="264">
        <v>7966</v>
      </c>
      <c r="G793" s="264">
        <v>7966</v>
      </c>
      <c r="H793" s="264">
        <v>1098</v>
      </c>
      <c r="I793" s="264">
        <v>1098</v>
      </c>
      <c r="J793" s="264">
        <v>6869</v>
      </c>
    </row>
    <row r="794" spans="1:10" ht="14.1" customHeight="1" x14ac:dyDescent="0.2">
      <c r="A794" s="278"/>
      <c r="B794" s="279" t="s">
        <v>80</v>
      </c>
      <c r="C794" s="280" t="s">
        <v>75</v>
      </c>
      <c r="D794" s="261" t="s">
        <v>81</v>
      </c>
      <c r="E794" s="264">
        <v>37</v>
      </c>
      <c r="F794" s="264">
        <v>22977</v>
      </c>
      <c r="G794" s="264">
        <v>850137</v>
      </c>
      <c r="H794" s="264">
        <v>3812</v>
      </c>
      <c r="I794" s="264">
        <v>141028</v>
      </c>
      <c r="J794" s="264">
        <v>709109</v>
      </c>
    </row>
    <row r="795" spans="1:10" ht="14.1" customHeight="1" x14ac:dyDescent="0.2">
      <c r="A795" s="278"/>
      <c r="B795" s="278"/>
      <c r="C795" s="278"/>
      <c r="D795" s="261" t="s">
        <v>82</v>
      </c>
      <c r="E795" s="264">
        <v>251</v>
      </c>
      <c r="F795" s="264">
        <v>19789</v>
      </c>
      <c r="G795" s="264">
        <v>4967084</v>
      </c>
      <c r="H795" s="264">
        <v>3812</v>
      </c>
      <c r="I795" s="264">
        <v>956703</v>
      </c>
      <c r="J795" s="264">
        <v>4010381</v>
      </c>
    </row>
    <row r="796" spans="1:10" ht="42.95" customHeight="1" x14ac:dyDescent="0.2">
      <c r="A796" s="278"/>
      <c r="B796" s="277" t="s">
        <v>246</v>
      </c>
      <c r="C796" s="280" t="s">
        <v>75</v>
      </c>
      <c r="D796" s="261" t="s">
        <v>99</v>
      </c>
      <c r="E796" s="264">
        <v>2</v>
      </c>
      <c r="F796" s="264">
        <v>30330</v>
      </c>
      <c r="G796" s="264">
        <v>60661</v>
      </c>
      <c r="H796" s="264">
        <v>0</v>
      </c>
      <c r="I796" s="264">
        <v>0</v>
      </c>
      <c r="J796" s="264">
        <v>60661</v>
      </c>
    </row>
    <row r="797" spans="1:10" ht="14.1" customHeight="1" x14ac:dyDescent="0.2">
      <c r="A797" s="278"/>
      <c r="B797" s="278"/>
      <c r="C797" s="278"/>
      <c r="D797" s="261" t="s">
        <v>91</v>
      </c>
      <c r="E797" s="264">
        <v>7</v>
      </c>
      <c r="F797" s="264">
        <v>18108</v>
      </c>
      <c r="G797" s="264">
        <v>126755</v>
      </c>
      <c r="H797" s="264">
        <v>0</v>
      </c>
      <c r="I797" s="264">
        <v>0</v>
      </c>
      <c r="J797" s="264">
        <v>126755</v>
      </c>
    </row>
    <row r="798" spans="1:10" ht="14.1" customHeight="1" x14ac:dyDescent="0.2">
      <c r="A798" s="278"/>
      <c r="B798" s="278"/>
      <c r="C798" s="278"/>
      <c r="D798" s="261" t="s">
        <v>90</v>
      </c>
      <c r="E798" s="264">
        <v>52</v>
      </c>
      <c r="F798" s="264">
        <v>7696</v>
      </c>
      <c r="G798" s="264">
        <v>400170</v>
      </c>
      <c r="H798" s="264">
        <v>0</v>
      </c>
      <c r="I798" s="264">
        <v>0</v>
      </c>
      <c r="J798" s="264">
        <v>400170</v>
      </c>
    </row>
    <row r="799" spans="1:10" ht="14.1" customHeight="1" x14ac:dyDescent="0.2">
      <c r="A799" s="278"/>
      <c r="B799" s="278"/>
      <c r="C799" s="278"/>
      <c r="D799" s="261" t="s">
        <v>98</v>
      </c>
      <c r="E799" s="264">
        <v>3</v>
      </c>
      <c r="F799" s="264">
        <v>2717</v>
      </c>
      <c r="G799" s="264">
        <v>8150</v>
      </c>
      <c r="H799" s="264">
        <v>0</v>
      </c>
      <c r="I799" s="264">
        <v>0</v>
      </c>
      <c r="J799" s="264">
        <v>8150</v>
      </c>
    </row>
    <row r="800" spans="1:10" ht="14.1" customHeight="1" x14ac:dyDescent="0.2">
      <c r="A800" s="278"/>
      <c r="B800" s="278"/>
      <c r="C800" s="278"/>
      <c r="D800" s="261" t="s">
        <v>76</v>
      </c>
      <c r="E800" s="264">
        <v>45</v>
      </c>
      <c r="F800" s="264">
        <v>36385</v>
      </c>
      <c r="G800" s="264">
        <v>1637341</v>
      </c>
      <c r="H800" s="264">
        <v>0</v>
      </c>
      <c r="I800" s="264">
        <v>0</v>
      </c>
      <c r="J800" s="264">
        <v>1637341</v>
      </c>
    </row>
    <row r="801" spans="1:10" ht="14.1" customHeight="1" x14ac:dyDescent="0.2">
      <c r="A801" s="278"/>
      <c r="B801" s="278"/>
      <c r="C801" s="278"/>
      <c r="D801" s="261" t="s">
        <v>151</v>
      </c>
      <c r="E801" s="264">
        <v>6</v>
      </c>
      <c r="F801" s="264">
        <v>5752</v>
      </c>
      <c r="G801" s="264">
        <v>34514</v>
      </c>
      <c r="H801" s="264">
        <v>0</v>
      </c>
      <c r="I801" s="264">
        <v>0</v>
      </c>
      <c r="J801" s="264">
        <v>34514</v>
      </c>
    </row>
    <row r="802" spans="1:10" ht="42.95" customHeight="1" x14ac:dyDescent="0.2">
      <c r="A802" s="278"/>
      <c r="B802" s="278"/>
      <c r="C802" s="277" t="s">
        <v>243</v>
      </c>
      <c r="D802" s="261" t="s">
        <v>83</v>
      </c>
      <c r="E802" s="264">
        <v>22</v>
      </c>
      <c r="F802" s="264">
        <v>3452</v>
      </c>
      <c r="G802" s="264">
        <v>75940</v>
      </c>
      <c r="H802" s="264">
        <v>1469</v>
      </c>
      <c r="I802" s="264">
        <v>32322</v>
      </c>
      <c r="J802" s="264">
        <v>43618</v>
      </c>
    </row>
    <row r="803" spans="1:10" ht="14.1" customHeight="1" x14ac:dyDescent="0.2">
      <c r="A803" s="278"/>
      <c r="B803" s="278"/>
      <c r="C803" s="278"/>
      <c r="D803" s="261" t="s">
        <v>92</v>
      </c>
      <c r="E803" s="264">
        <v>3</v>
      </c>
      <c r="F803" s="264">
        <v>31800</v>
      </c>
      <c r="G803" s="264">
        <v>95399</v>
      </c>
      <c r="H803" s="264">
        <v>1469</v>
      </c>
      <c r="I803" s="264">
        <v>4408</v>
      </c>
      <c r="J803" s="264">
        <v>90991</v>
      </c>
    </row>
    <row r="804" spans="1:10" ht="14.1" customHeight="1" x14ac:dyDescent="0.2">
      <c r="A804" s="278"/>
      <c r="B804" s="278"/>
      <c r="C804" s="278"/>
      <c r="D804" s="261" t="s">
        <v>86</v>
      </c>
      <c r="E804" s="264">
        <v>11</v>
      </c>
      <c r="F804" s="264">
        <v>19577</v>
      </c>
      <c r="G804" s="264">
        <v>215348</v>
      </c>
      <c r="H804" s="264">
        <v>1469</v>
      </c>
      <c r="I804" s="264">
        <v>16161</v>
      </c>
      <c r="J804" s="264">
        <v>199187</v>
      </c>
    </row>
    <row r="805" spans="1:10" ht="14.1" customHeight="1" x14ac:dyDescent="0.2">
      <c r="A805" s="278"/>
      <c r="B805" s="278"/>
      <c r="C805" s="278"/>
      <c r="D805" s="261" t="s">
        <v>84</v>
      </c>
      <c r="E805" s="264">
        <v>49</v>
      </c>
      <c r="F805" s="264">
        <v>9165</v>
      </c>
      <c r="G805" s="264">
        <v>449072</v>
      </c>
      <c r="H805" s="264">
        <v>1469</v>
      </c>
      <c r="I805" s="264">
        <v>71989</v>
      </c>
      <c r="J805" s="264">
        <v>377083</v>
      </c>
    </row>
    <row r="806" spans="1:10" ht="14.1" customHeight="1" x14ac:dyDescent="0.2">
      <c r="A806" s="278"/>
      <c r="B806" s="278"/>
      <c r="C806" s="278"/>
      <c r="D806" s="261" t="s">
        <v>78</v>
      </c>
      <c r="E806" s="264">
        <v>2</v>
      </c>
      <c r="F806" s="264">
        <v>37855</v>
      </c>
      <c r="G806" s="264">
        <v>75709</v>
      </c>
      <c r="H806" s="264">
        <v>1469</v>
      </c>
      <c r="I806" s="264">
        <v>2938</v>
      </c>
      <c r="J806" s="264">
        <v>72771</v>
      </c>
    </row>
    <row r="807" spans="1:10" ht="14.1" customHeight="1" x14ac:dyDescent="0.2">
      <c r="A807" s="278"/>
      <c r="B807" s="278"/>
      <c r="C807" s="278"/>
      <c r="D807" s="261" t="s">
        <v>154</v>
      </c>
      <c r="E807" s="264">
        <v>3</v>
      </c>
      <c r="F807" s="264">
        <v>7222</v>
      </c>
      <c r="G807" s="264">
        <v>21665</v>
      </c>
      <c r="H807" s="264">
        <v>1469</v>
      </c>
      <c r="I807" s="264">
        <v>4408</v>
      </c>
      <c r="J807" s="264">
        <v>17257</v>
      </c>
    </row>
    <row r="808" spans="1:10" ht="42.95" customHeight="1" x14ac:dyDescent="0.2">
      <c r="A808" s="278"/>
      <c r="B808" s="278"/>
      <c r="C808" s="263" t="s">
        <v>244</v>
      </c>
      <c r="D808" s="261" t="s">
        <v>153</v>
      </c>
      <c r="E808" s="264">
        <v>52</v>
      </c>
      <c r="F808" s="264">
        <v>5604</v>
      </c>
      <c r="G808" s="264">
        <v>291410</v>
      </c>
      <c r="H808" s="264">
        <v>1242</v>
      </c>
      <c r="I808" s="264">
        <v>64574</v>
      </c>
      <c r="J808" s="264">
        <v>226836</v>
      </c>
    </row>
    <row r="809" spans="1:10" ht="42.95" customHeight="1" x14ac:dyDescent="0.2">
      <c r="A809" s="278"/>
      <c r="B809" s="278"/>
      <c r="C809" s="277" t="s">
        <v>245</v>
      </c>
      <c r="D809" s="261" t="s">
        <v>83</v>
      </c>
      <c r="E809" s="264">
        <v>740</v>
      </c>
      <c r="F809" s="264">
        <v>2773</v>
      </c>
      <c r="G809" s="264">
        <v>2051753</v>
      </c>
      <c r="H809" s="264">
        <v>790</v>
      </c>
      <c r="I809" s="264">
        <v>584586</v>
      </c>
      <c r="J809" s="264">
        <v>1467168</v>
      </c>
    </row>
    <row r="810" spans="1:10" ht="14.1" customHeight="1" x14ac:dyDescent="0.2">
      <c r="A810" s="278"/>
      <c r="B810" s="278"/>
      <c r="C810" s="278"/>
      <c r="D810" s="261" t="s">
        <v>92</v>
      </c>
      <c r="E810" s="264">
        <v>861</v>
      </c>
      <c r="F810" s="264">
        <v>31120</v>
      </c>
      <c r="G810" s="264">
        <v>26794685</v>
      </c>
      <c r="H810" s="264">
        <v>790</v>
      </c>
      <c r="I810" s="264">
        <v>680173</v>
      </c>
      <c r="J810" s="264">
        <v>26114512</v>
      </c>
    </row>
    <row r="811" spans="1:10" ht="14.1" customHeight="1" x14ac:dyDescent="0.2">
      <c r="A811" s="278"/>
      <c r="B811" s="278"/>
      <c r="C811" s="278"/>
      <c r="D811" s="261" t="s">
        <v>86</v>
      </c>
      <c r="E811" s="264">
        <v>2818</v>
      </c>
      <c r="F811" s="264">
        <v>18898</v>
      </c>
      <c r="G811" s="264">
        <v>53254227</v>
      </c>
      <c r="H811" s="264">
        <v>790</v>
      </c>
      <c r="I811" s="264">
        <v>2226166</v>
      </c>
      <c r="J811" s="264">
        <v>51028062</v>
      </c>
    </row>
    <row r="812" spans="1:10" ht="14.1" customHeight="1" x14ac:dyDescent="0.2">
      <c r="A812" s="278"/>
      <c r="B812" s="278"/>
      <c r="C812" s="278"/>
      <c r="D812" s="261" t="s">
        <v>87</v>
      </c>
      <c r="E812" s="264">
        <v>97</v>
      </c>
      <c r="F812" s="264">
        <v>12107</v>
      </c>
      <c r="G812" s="264">
        <v>1174373</v>
      </c>
      <c r="H812" s="264">
        <v>790</v>
      </c>
      <c r="I812" s="264">
        <v>76628</v>
      </c>
      <c r="J812" s="264">
        <v>1097745</v>
      </c>
    </row>
    <row r="813" spans="1:10" ht="14.1" customHeight="1" x14ac:dyDescent="0.2">
      <c r="A813" s="278"/>
      <c r="B813" s="278"/>
      <c r="C813" s="278"/>
      <c r="D813" s="261" t="s">
        <v>84</v>
      </c>
      <c r="E813" s="264">
        <v>2549</v>
      </c>
      <c r="F813" s="264">
        <v>8486</v>
      </c>
      <c r="G813" s="264">
        <v>21629665</v>
      </c>
      <c r="H813" s="264">
        <v>790</v>
      </c>
      <c r="I813" s="264">
        <v>2013661</v>
      </c>
      <c r="J813" s="264">
        <v>19616004</v>
      </c>
    </row>
    <row r="814" spans="1:10" ht="14.1" customHeight="1" x14ac:dyDescent="0.2">
      <c r="A814" s="278"/>
      <c r="B814" s="278"/>
      <c r="C814" s="278"/>
      <c r="D814" s="261" t="s">
        <v>96</v>
      </c>
      <c r="E814" s="264">
        <v>35</v>
      </c>
      <c r="F814" s="264">
        <v>3507</v>
      </c>
      <c r="G814" s="264">
        <v>122736</v>
      </c>
      <c r="H814" s="264">
        <v>790</v>
      </c>
      <c r="I814" s="264">
        <v>27649</v>
      </c>
      <c r="J814" s="264">
        <v>95087</v>
      </c>
    </row>
    <row r="815" spans="1:10" ht="14.1" customHeight="1" x14ac:dyDescent="0.2">
      <c r="A815" s="278"/>
      <c r="B815" s="278"/>
      <c r="C815" s="278"/>
      <c r="D815" s="261" t="s">
        <v>88</v>
      </c>
      <c r="E815" s="264">
        <v>3</v>
      </c>
      <c r="F815" s="264">
        <v>2149</v>
      </c>
      <c r="G815" s="264">
        <v>6448</v>
      </c>
      <c r="H815" s="264">
        <v>790</v>
      </c>
      <c r="I815" s="264">
        <v>2370</v>
      </c>
      <c r="J815" s="264">
        <v>4078</v>
      </c>
    </row>
    <row r="816" spans="1:10" ht="14.1" customHeight="1" x14ac:dyDescent="0.2">
      <c r="A816" s="278"/>
      <c r="B816" s="278"/>
      <c r="C816" s="278"/>
      <c r="D816" s="261" t="s">
        <v>106</v>
      </c>
      <c r="E816" s="264">
        <v>1</v>
      </c>
      <c r="F816" s="264">
        <v>1401</v>
      </c>
      <c r="G816" s="264">
        <v>1401</v>
      </c>
      <c r="H816" s="264">
        <v>790</v>
      </c>
      <c r="I816" s="264">
        <v>790</v>
      </c>
      <c r="J816" s="264">
        <v>611</v>
      </c>
    </row>
    <row r="817" spans="1:10" ht="14.1" customHeight="1" x14ac:dyDescent="0.2">
      <c r="A817" s="278"/>
      <c r="B817" s="278"/>
      <c r="C817" s="278"/>
      <c r="D817" s="261" t="s">
        <v>78</v>
      </c>
      <c r="E817" s="264">
        <v>2120</v>
      </c>
      <c r="F817" s="264">
        <v>37175</v>
      </c>
      <c r="G817" s="264">
        <v>78811715</v>
      </c>
      <c r="H817" s="264">
        <v>790</v>
      </c>
      <c r="I817" s="264">
        <v>1674759</v>
      </c>
      <c r="J817" s="264">
        <v>77136956</v>
      </c>
    </row>
    <row r="818" spans="1:10" ht="14.1" customHeight="1" x14ac:dyDescent="0.2">
      <c r="A818" s="278"/>
      <c r="B818" s="278"/>
      <c r="C818" s="278"/>
      <c r="D818" s="261" t="s">
        <v>152</v>
      </c>
      <c r="E818" s="264">
        <v>4</v>
      </c>
      <c r="F818" s="264">
        <v>28002</v>
      </c>
      <c r="G818" s="264">
        <v>112008</v>
      </c>
      <c r="H818" s="264">
        <v>790</v>
      </c>
      <c r="I818" s="264">
        <v>3160</v>
      </c>
      <c r="J818" s="264">
        <v>108848</v>
      </c>
    </row>
    <row r="819" spans="1:10" ht="14.1" customHeight="1" x14ac:dyDescent="0.2">
      <c r="A819" s="278"/>
      <c r="B819" s="278"/>
      <c r="C819" s="278"/>
      <c r="D819" s="261" t="s">
        <v>153</v>
      </c>
      <c r="E819" s="264">
        <v>869</v>
      </c>
      <c r="F819" s="264">
        <v>5152</v>
      </c>
      <c r="G819" s="264">
        <v>4477276</v>
      </c>
      <c r="H819" s="264">
        <v>790</v>
      </c>
      <c r="I819" s="264">
        <v>686493</v>
      </c>
      <c r="J819" s="264">
        <v>3790782</v>
      </c>
    </row>
    <row r="820" spans="1:10" ht="14.1" customHeight="1" x14ac:dyDescent="0.2">
      <c r="A820" s="278"/>
      <c r="B820" s="278"/>
      <c r="C820" s="278"/>
      <c r="D820" s="261" t="s">
        <v>154</v>
      </c>
      <c r="E820" s="264">
        <v>949</v>
      </c>
      <c r="F820" s="264">
        <v>6542</v>
      </c>
      <c r="G820" s="264">
        <v>6208727</v>
      </c>
      <c r="H820" s="264">
        <v>790</v>
      </c>
      <c r="I820" s="264">
        <v>749692</v>
      </c>
      <c r="J820" s="264">
        <v>5459036</v>
      </c>
    </row>
    <row r="821" spans="1:10" ht="29.1" customHeight="1" x14ac:dyDescent="0.2">
      <c r="A821" s="278"/>
      <c r="B821" s="277" t="s">
        <v>247</v>
      </c>
      <c r="C821" s="262" t="s">
        <v>75</v>
      </c>
      <c r="D821" s="261" t="s">
        <v>97</v>
      </c>
      <c r="E821" s="264">
        <v>1</v>
      </c>
      <c r="F821" s="264">
        <v>11317</v>
      </c>
      <c r="G821" s="264">
        <v>11317</v>
      </c>
      <c r="H821" s="264">
        <v>1188</v>
      </c>
      <c r="I821" s="264">
        <v>1188</v>
      </c>
      <c r="J821" s="264">
        <v>10129</v>
      </c>
    </row>
    <row r="822" spans="1:10" ht="42.95" customHeight="1" x14ac:dyDescent="0.2">
      <c r="A822" s="278"/>
      <c r="B822" s="278"/>
      <c r="C822" s="263" t="s">
        <v>243</v>
      </c>
      <c r="D822" s="261" t="s">
        <v>86</v>
      </c>
      <c r="E822" s="264">
        <v>1</v>
      </c>
      <c r="F822" s="264">
        <v>19577</v>
      </c>
      <c r="G822" s="264">
        <v>19577</v>
      </c>
      <c r="H822" s="264">
        <v>2657</v>
      </c>
      <c r="I822" s="264">
        <v>2657</v>
      </c>
      <c r="J822" s="264">
        <v>16920</v>
      </c>
    </row>
    <row r="823" spans="1:10" ht="42.95" customHeight="1" x14ac:dyDescent="0.2">
      <c r="A823" s="278"/>
      <c r="B823" s="278"/>
      <c r="C823" s="277" t="s">
        <v>245</v>
      </c>
      <c r="D823" s="261" t="s">
        <v>92</v>
      </c>
      <c r="E823" s="264">
        <v>286</v>
      </c>
      <c r="F823" s="264">
        <v>31120</v>
      </c>
      <c r="G823" s="264">
        <v>8900441</v>
      </c>
      <c r="H823" s="264">
        <v>1978</v>
      </c>
      <c r="I823" s="264">
        <v>565663</v>
      </c>
      <c r="J823" s="264">
        <v>8334778</v>
      </c>
    </row>
    <row r="824" spans="1:10" ht="14.1" customHeight="1" x14ac:dyDescent="0.2">
      <c r="A824" s="278"/>
      <c r="B824" s="278"/>
      <c r="C824" s="278"/>
      <c r="D824" s="261" t="s">
        <v>86</v>
      </c>
      <c r="E824" s="264">
        <v>296</v>
      </c>
      <c r="F824" s="264">
        <v>18898</v>
      </c>
      <c r="G824" s="264">
        <v>5593773</v>
      </c>
      <c r="H824" s="264">
        <v>1978</v>
      </c>
      <c r="I824" s="264">
        <v>585441</v>
      </c>
      <c r="J824" s="264">
        <v>5008331</v>
      </c>
    </row>
    <row r="825" spans="1:10" ht="14.1" customHeight="1" x14ac:dyDescent="0.2">
      <c r="A825" s="278"/>
      <c r="B825" s="278"/>
      <c r="C825" s="278"/>
      <c r="D825" s="261" t="s">
        <v>87</v>
      </c>
      <c r="E825" s="264">
        <v>176</v>
      </c>
      <c r="F825" s="264">
        <v>12107</v>
      </c>
      <c r="G825" s="264">
        <v>2130821</v>
      </c>
      <c r="H825" s="264">
        <v>1978</v>
      </c>
      <c r="I825" s="264">
        <v>348100</v>
      </c>
      <c r="J825" s="264">
        <v>1782721</v>
      </c>
    </row>
    <row r="826" spans="1:10" ht="14.1" customHeight="1" x14ac:dyDescent="0.2">
      <c r="A826" s="278"/>
      <c r="B826" s="278"/>
      <c r="C826" s="278"/>
      <c r="D826" s="261" t="s">
        <v>84</v>
      </c>
      <c r="E826" s="264">
        <v>230</v>
      </c>
      <c r="F826" s="264">
        <v>8486</v>
      </c>
      <c r="G826" s="264">
        <v>1951676</v>
      </c>
      <c r="H826" s="264">
        <v>1978</v>
      </c>
      <c r="I826" s="264">
        <v>454904</v>
      </c>
      <c r="J826" s="264">
        <v>1496773</v>
      </c>
    </row>
    <row r="827" spans="1:10" ht="14.1" customHeight="1" x14ac:dyDescent="0.2">
      <c r="A827" s="278"/>
      <c r="B827" s="278"/>
      <c r="C827" s="278"/>
      <c r="D827" s="261" t="s">
        <v>96</v>
      </c>
      <c r="E827" s="264">
        <v>54</v>
      </c>
      <c r="F827" s="264">
        <v>3507</v>
      </c>
      <c r="G827" s="264">
        <v>189364</v>
      </c>
      <c r="H827" s="264">
        <v>1978</v>
      </c>
      <c r="I827" s="264">
        <v>106803</v>
      </c>
      <c r="J827" s="264">
        <v>82561</v>
      </c>
    </row>
    <row r="828" spans="1:10" ht="14.1" customHeight="1" x14ac:dyDescent="0.2">
      <c r="A828" s="278"/>
      <c r="B828" s="278"/>
      <c r="C828" s="278"/>
      <c r="D828" s="261" t="s">
        <v>88</v>
      </c>
      <c r="E828" s="264">
        <v>353</v>
      </c>
      <c r="F828" s="264">
        <v>2149</v>
      </c>
      <c r="G828" s="264">
        <v>758712</v>
      </c>
      <c r="H828" s="264">
        <v>1978</v>
      </c>
      <c r="I828" s="264">
        <v>698178</v>
      </c>
      <c r="J828" s="264">
        <v>60534</v>
      </c>
    </row>
    <row r="829" spans="1:10" ht="14.1" customHeight="1" x14ac:dyDescent="0.2">
      <c r="A829" s="278" t="s">
        <v>10</v>
      </c>
      <c r="B829" s="278" t="s">
        <v>60</v>
      </c>
      <c r="C829" s="278"/>
      <c r="D829" s="278"/>
      <c r="E829" s="264">
        <v>6234</v>
      </c>
      <c r="F829" s="264"/>
      <c r="G829" s="264">
        <v>97873192</v>
      </c>
      <c r="H829" s="264">
        <v>13782</v>
      </c>
      <c r="I829" s="264"/>
      <c r="J829" s="264">
        <v>92826954</v>
      </c>
    </row>
    <row r="830" spans="1:10" ht="14.1" customHeight="1" x14ac:dyDescent="0.2">
      <c r="A830" s="278"/>
      <c r="B830" s="261" t="s">
        <v>71</v>
      </c>
      <c r="C830" s="261" t="s">
        <v>72</v>
      </c>
      <c r="D830" s="261" t="s">
        <v>73</v>
      </c>
      <c r="E830" s="281">
        <v>1</v>
      </c>
      <c r="F830" s="281">
        <v>12852</v>
      </c>
      <c r="G830" s="281">
        <v>12852</v>
      </c>
      <c r="H830" s="281">
        <v>2657</v>
      </c>
      <c r="I830" s="281">
        <v>2657</v>
      </c>
      <c r="J830" s="281">
        <v>10195</v>
      </c>
    </row>
    <row r="831" spans="1:10" ht="42.95" customHeight="1" x14ac:dyDescent="0.2">
      <c r="A831" s="278"/>
      <c r="B831" s="279" t="s">
        <v>74</v>
      </c>
      <c r="C831" s="263" t="s">
        <v>243</v>
      </c>
      <c r="D831" s="261" t="s">
        <v>79</v>
      </c>
      <c r="E831" s="282"/>
      <c r="F831" s="282"/>
      <c r="G831" s="282"/>
      <c r="H831" s="282"/>
      <c r="I831" s="282"/>
      <c r="J831" s="282"/>
    </row>
    <row r="832" spans="1:10" ht="42.95" customHeight="1" x14ac:dyDescent="0.2">
      <c r="A832" s="278"/>
      <c r="B832" s="278"/>
      <c r="C832" s="263" t="s">
        <v>245</v>
      </c>
      <c r="D832" s="261" t="s">
        <v>79</v>
      </c>
      <c r="E832" s="264">
        <v>104</v>
      </c>
      <c r="F832" s="264">
        <v>12172</v>
      </c>
      <c r="G832" s="264">
        <v>1265934</v>
      </c>
      <c r="H832" s="264">
        <v>1978</v>
      </c>
      <c r="I832" s="264">
        <v>205696</v>
      </c>
      <c r="J832" s="264">
        <v>1060239</v>
      </c>
    </row>
    <row r="833" spans="1:10" ht="42.95" customHeight="1" x14ac:dyDescent="0.2">
      <c r="A833" s="278"/>
      <c r="B833" s="277" t="s">
        <v>246</v>
      </c>
      <c r="C833" s="280" t="s">
        <v>75</v>
      </c>
      <c r="D833" s="261" t="s">
        <v>99</v>
      </c>
      <c r="E833" s="264">
        <v>2</v>
      </c>
      <c r="F833" s="264">
        <v>30330</v>
      </c>
      <c r="G833" s="264">
        <v>60661</v>
      </c>
      <c r="H833" s="264">
        <v>0</v>
      </c>
      <c r="I833" s="264">
        <v>0</v>
      </c>
      <c r="J833" s="264">
        <v>60661</v>
      </c>
    </row>
    <row r="834" spans="1:10" ht="14.1" customHeight="1" x14ac:dyDescent="0.2">
      <c r="A834" s="278"/>
      <c r="B834" s="278"/>
      <c r="C834" s="278"/>
      <c r="D834" s="261" t="s">
        <v>91</v>
      </c>
      <c r="E834" s="264">
        <v>4</v>
      </c>
      <c r="F834" s="264">
        <v>18108</v>
      </c>
      <c r="G834" s="264">
        <v>72432</v>
      </c>
      <c r="H834" s="264">
        <v>0</v>
      </c>
      <c r="I834" s="264">
        <v>0</v>
      </c>
      <c r="J834" s="264">
        <v>72432</v>
      </c>
    </row>
    <row r="835" spans="1:10" ht="14.1" customHeight="1" x14ac:dyDescent="0.2">
      <c r="A835" s="278"/>
      <c r="B835" s="278"/>
      <c r="C835" s="278"/>
      <c r="D835" s="261" t="s">
        <v>90</v>
      </c>
      <c r="E835" s="264">
        <v>15</v>
      </c>
      <c r="F835" s="264">
        <v>7696</v>
      </c>
      <c r="G835" s="264">
        <v>115434</v>
      </c>
      <c r="H835" s="264">
        <v>0</v>
      </c>
      <c r="I835" s="264">
        <v>0</v>
      </c>
      <c r="J835" s="264">
        <v>115434</v>
      </c>
    </row>
    <row r="836" spans="1:10" ht="14.1" customHeight="1" x14ac:dyDescent="0.2">
      <c r="A836" s="278"/>
      <c r="B836" s="278"/>
      <c r="C836" s="278"/>
      <c r="D836" s="261" t="s">
        <v>76</v>
      </c>
      <c r="E836" s="264">
        <v>2</v>
      </c>
      <c r="F836" s="264">
        <v>36385</v>
      </c>
      <c r="G836" s="264">
        <v>72771</v>
      </c>
      <c r="H836" s="264">
        <v>0</v>
      </c>
      <c r="I836" s="264">
        <v>0</v>
      </c>
      <c r="J836" s="264">
        <v>72771</v>
      </c>
    </row>
    <row r="837" spans="1:10" ht="42.95" customHeight="1" x14ac:dyDescent="0.2">
      <c r="A837" s="278"/>
      <c r="B837" s="278"/>
      <c r="C837" s="277" t="s">
        <v>243</v>
      </c>
      <c r="D837" s="261" t="s">
        <v>86</v>
      </c>
      <c r="E837" s="264">
        <v>1</v>
      </c>
      <c r="F837" s="264">
        <v>19577</v>
      </c>
      <c r="G837" s="264">
        <v>19577</v>
      </c>
      <c r="H837" s="264">
        <v>1469</v>
      </c>
      <c r="I837" s="264">
        <v>1469</v>
      </c>
      <c r="J837" s="264">
        <v>18108</v>
      </c>
    </row>
    <row r="838" spans="1:10" ht="14.1" customHeight="1" x14ac:dyDescent="0.2">
      <c r="A838" s="278"/>
      <c r="B838" s="278"/>
      <c r="C838" s="278"/>
      <c r="D838" s="261" t="s">
        <v>84</v>
      </c>
      <c r="E838" s="264">
        <v>16</v>
      </c>
      <c r="F838" s="264">
        <v>9165</v>
      </c>
      <c r="G838" s="264">
        <v>146636</v>
      </c>
      <c r="H838" s="264">
        <v>1469</v>
      </c>
      <c r="I838" s="264">
        <v>23507</v>
      </c>
      <c r="J838" s="264">
        <v>123129</v>
      </c>
    </row>
    <row r="839" spans="1:10" ht="14.1" customHeight="1" x14ac:dyDescent="0.2">
      <c r="A839" s="278"/>
      <c r="B839" s="278"/>
      <c r="C839" s="278"/>
      <c r="D839" s="261" t="s">
        <v>78</v>
      </c>
      <c r="E839" s="264">
        <v>4</v>
      </c>
      <c r="F839" s="264">
        <v>37855</v>
      </c>
      <c r="G839" s="264">
        <v>151418</v>
      </c>
      <c r="H839" s="264">
        <v>1469</v>
      </c>
      <c r="I839" s="264">
        <v>5877</v>
      </c>
      <c r="J839" s="264">
        <v>145541</v>
      </c>
    </row>
    <row r="840" spans="1:10" ht="42.95" customHeight="1" x14ac:dyDescent="0.2">
      <c r="A840" s="278"/>
      <c r="B840" s="278"/>
      <c r="C840" s="277" t="s">
        <v>245</v>
      </c>
      <c r="D840" s="261" t="s">
        <v>92</v>
      </c>
      <c r="E840" s="264">
        <v>769</v>
      </c>
      <c r="F840" s="264">
        <v>31140</v>
      </c>
      <c r="G840" s="264">
        <v>23946548</v>
      </c>
      <c r="H840" s="264">
        <v>790</v>
      </c>
      <c r="I840" s="264">
        <v>607495</v>
      </c>
      <c r="J840" s="264">
        <v>23339053</v>
      </c>
    </row>
    <row r="841" spans="1:10" ht="14.1" customHeight="1" x14ac:dyDescent="0.2">
      <c r="A841" s="278"/>
      <c r="B841" s="278"/>
      <c r="C841" s="278"/>
      <c r="D841" s="261" t="s">
        <v>86</v>
      </c>
      <c r="E841" s="264">
        <v>1121</v>
      </c>
      <c r="F841" s="264">
        <v>18909</v>
      </c>
      <c r="G841" s="264">
        <v>21196750</v>
      </c>
      <c r="H841" s="264">
        <v>790</v>
      </c>
      <c r="I841" s="264">
        <v>885568</v>
      </c>
      <c r="J841" s="264">
        <v>20311181</v>
      </c>
    </row>
    <row r="842" spans="1:10" ht="14.1" customHeight="1" x14ac:dyDescent="0.2">
      <c r="A842" s="278"/>
      <c r="B842" s="278"/>
      <c r="C842" s="278"/>
      <c r="D842" s="261" t="s">
        <v>87</v>
      </c>
      <c r="E842" s="264">
        <v>65</v>
      </c>
      <c r="F842" s="264">
        <v>12138</v>
      </c>
      <c r="G842" s="264">
        <v>788988</v>
      </c>
      <c r="H842" s="264">
        <v>790</v>
      </c>
      <c r="I842" s="264">
        <v>51349</v>
      </c>
      <c r="J842" s="264">
        <v>737640</v>
      </c>
    </row>
    <row r="843" spans="1:10" ht="14.1" customHeight="1" x14ac:dyDescent="0.2">
      <c r="A843" s="278"/>
      <c r="B843" s="278"/>
      <c r="C843" s="278"/>
      <c r="D843" s="261" t="s">
        <v>84</v>
      </c>
      <c r="E843" s="264">
        <v>3609</v>
      </c>
      <c r="F843" s="264">
        <v>8502</v>
      </c>
      <c r="G843" s="264">
        <v>30685474</v>
      </c>
      <c r="H843" s="264">
        <v>790</v>
      </c>
      <c r="I843" s="264">
        <v>2851040</v>
      </c>
      <c r="J843" s="264">
        <v>27834434</v>
      </c>
    </row>
    <row r="844" spans="1:10" ht="14.1" customHeight="1" x14ac:dyDescent="0.2">
      <c r="A844" s="278"/>
      <c r="B844" s="278"/>
      <c r="C844" s="278"/>
      <c r="D844" s="261" t="s">
        <v>78</v>
      </c>
      <c r="E844" s="264">
        <v>520</v>
      </c>
      <c r="F844" s="264">
        <v>37175</v>
      </c>
      <c r="G844" s="264">
        <v>19331175</v>
      </c>
      <c r="H844" s="264">
        <v>790</v>
      </c>
      <c r="I844" s="264">
        <v>410790</v>
      </c>
      <c r="J844" s="264">
        <v>18920385</v>
      </c>
    </row>
    <row r="845" spans="1:10" ht="14.1" customHeight="1" x14ac:dyDescent="0.2">
      <c r="A845" s="278"/>
      <c r="B845" s="278"/>
      <c r="C845" s="278"/>
      <c r="D845" s="261" t="s">
        <v>154</v>
      </c>
      <c r="E845" s="264">
        <v>1</v>
      </c>
      <c r="F845" s="264">
        <v>6542</v>
      </c>
      <c r="G845" s="264">
        <v>6542</v>
      </c>
      <c r="H845" s="264">
        <v>790</v>
      </c>
      <c r="I845" s="264">
        <v>790</v>
      </c>
      <c r="J845" s="264">
        <v>5752</v>
      </c>
    </row>
    <row r="846" spans="1:10" ht="12" customHeight="1" x14ac:dyDescent="0.2"/>
  </sheetData>
  <mergeCells count="416">
    <mergeCell ref="A3:D3"/>
    <mergeCell ref="E4:E5"/>
    <mergeCell ref="F4:F5"/>
    <mergeCell ref="G4:G5"/>
    <mergeCell ref="H4:H5"/>
    <mergeCell ref="I4:I5"/>
    <mergeCell ref="J4:J5"/>
    <mergeCell ref="A5:A53"/>
    <mergeCell ref="B5:D5"/>
    <mergeCell ref="E6:E7"/>
    <mergeCell ref="F6:F7"/>
    <mergeCell ref="G6:G7"/>
    <mergeCell ref="H6:H7"/>
    <mergeCell ref="I6:I7"/>
    <mergeCell ref="J6:J7"/>
    <mergeCell ref="B7:B10"/>
    <mergeCell ref="A54:A76"/>
    <mergeCell ref="B54:D54"/>
    <mergeCell ref="E55:E56"/>
    <mergeCell ref="B59:B76"/>
    <mergeCell ref="C59:C61"/>
    <mergeCell ref="C62:C67"/>
    <mergeCell ref="C68:C76"/>
    <mergeCell ref="B11:B12"/>
    <mergeCell ref="C11:C12"/>
    <mergeCell ref="B13:B40"/>
    <mergeCell ref="C13:C18"/>
    <mergeCell ref="C19:C25"/>
    <mergeCell ref="C26:C28"/>
    <mergeCell ref="C29:C40"/>
    <mergeCell ref="F55:F56"/>
    <mergeCell ref="G55:G56"/>
    <mergeCell ref="H55:H56"/>
    <mergeCell ref="I55:I56"/>
    <mergeCell ref="J55:J56"/>
    <mergeCell ref="B56:B58"/>
    <mergeCell ref="B41:B53"/>
    <mergeCell ref="C41:C43"/>
    <mergeCell ref="C45:C53"/>
    <mergeCell ref="I78:I79"/>
    <mergeCell ref="J78:J79"/>
    <mergeCell ref="B79:B80"/>
    <mergeCell ref="B81:B92"/>
    <mergeCell ref="C81:C82"/>
    <mergeCell ref="C83:C86"/>
    <mergeCell ref="C88:C92"/>
    <mergeCell ref="A77:A92"/>
    <mergeCell ref="B77:D77"/>
    <mergeCell ref="E78:E79"/>
    <mergeCell ref="F78:F79"/>
    <mergeCell ref="G78:G79"/>
    <mergeCell ref="H78:H79"/>
    <mergeCell ref="A93:A120"/>
    <mergeCell ref="B93:D93"/>
    <mergeCell ref="E94:E95"/>
    <mergeCell ref="F94:F95"/>
    <mergeCell ref="G94:G95"/>
    <mergeCell ref="H94:H95"/>
    <mergeCell ref="B119:B120"/>
    <mergeCell ref="C119:C120"/>
    <mergeCell ref="I122:I123"/>
    <mergeCell ref="E122:E123"/>
    <mergeCell ref="F122:F123"/>
    <mergeCell ref="G122:G123"/>
    <mergeCell ref="H122:H123"/>
    <mergeCell ref="I94:I95"/>
    <mergeCell ref="J94:J95"/>
    <mergeCell ref="B95:B96"/>
    <mergeCell ref="B97:B118"/>
    <mergeCell ref="C97:C100"/>
    <mergeCell ref="C101:C106"/>
    <mergeCell ref="C107:C109"/>
    <mergeCell ref="C110:C118"/>
    <mergeCell ref="J122:J123"/>
    <mergeCell ref="B123:B131"/>
    <mergeCell ref="C123:C125"/>
    <mergeCell ref="C126:C131"/>
    <mergeCell ref="B132:B149"/>
    <mergeCell ref="C132:C135"/>
    <mergeCell ref="C136:C140"/>
    <mergeCell ref="C141:C149"/>
    <mergeCell ref="A150:A190"/>
    <mergeCell ref="B150:D150"/>
    <mergeCell ref="A121:A149"/>
    <mergeCell ref="B121:D121"/>
    <mergeCell ref="J151:J152"/>
    <mergeCell ref="B152:B153"/>
    <mergeCell ref="B154:B155"/>
    <mergeCell ref="C154:C155"/>
    <mergeCell ref="B156:B179"/>
    <mergeCell ref="C156:C158"/>
    <mergeCell ref="C159:C164"/>
    <mergeCell ref="C166:C179"/>
    <mergeCell ref="I192:I193"/>
    <mergeCell ref="J192:J193"/>
    <mergeCell ref="B193:B195"/>
    <mergeCell ref="H192:H193"/>
    <mergeCell ref="E151:E152"/>
    <mergeCell ref="F151:F152"/>
    <mergeCell ref="G151:G152"/>
    <mergeCell ref="H151:H152"/>
    <mergeCell ref="B180:B190"/>
    <mergeCell ref="C180:C181"/>
    <mergeCell ref="C182:C183"/>
    <mergeCell ref="C184:C190"/>
    <mergeCell ref="I151:I152"/>
    <mergeCell ref="B197:B209"/>
    <mergeCell ref="C197:C198"/>
    <mergeCell ref="C199:C201"/>
    <mergeCell ref="C203:C209"/>
    <mergeCell ref="A191:A209"/>
    <mergeCell ref="B191:D191"/>
    <mergeCell ref="E192:E193"/>
    <mergeCell ref="F192:F193"/>
    <mergeCell ref="G192:G193"/>
    <mergeCell ref="I211:I212"/>
    <mergeCell ref="J211:J212"/>
    <mergeCell ref="B212:B214"/>
    <mergeCell ref="B215:B221"/>
    <mergeCell ref="C215:C217"/>
    <mergeCell ref="C218:C221"/>
    <mergeCell ref="A210:A267"/>
    <mergeCell ref="B210:D210"/>
    <mergeCell ref="E211:E212"/>
    <mergeCell ref="F211:F212"/>
    <mergeCell ref="G211:G212"/>
    <mergeCell ref="H211:H212"/>
    <mergeCell ref="B222:B247"/>
    <mergeCell ref="C222:C227"/>
    <mergeCell ref="C228:C233"/>
    <mergeCell ref="C235:C247"/>
    <mergeCell ref="B248:B267"/>
    <mergeCell ref="C248:C254"/>
    <mergeCell ref="C255:C259"/>
    <mergeCell ref="C260:C267"/>
    <mergeCell ref="I329:I330"/>
    <mergeCell ref="J329:J330"/>
    <mergeCell ref="B313:B327"/>
    <mergeCell ref="C313:C316"/>
    <mergeCell ref="C317:C319"/>
    <mergeCell ref="C321:C327"/>
    <mergeCell ref="G269:G270"/>
    <mergeCell ref="H269:H270"/>
    <mergeCell ref="I269:I270"/>
    <mergeCell ref="J269:J270"/>
    <mergeCell ref="G291:G292"/>
    <mergeCell ref="H291:H292"/>
    <mergeCell ref="I291:I292"/>
    <mergeCell ref="J291:J292"/>
    <mergeCell ref="B292:B294"/>
    <mergeCell ref="B270:B271"/>
    <mergeCell ref="B272:B289"/>
    <mergeCell ref="C272:C275"/>
    <mergeCell ref="C276:C280"/>
    <mergeCell ref="E269:E270"/>
    <mergeCell ref="F269:F270"/>
    <mergeCell ref="E291:E292"/>
    <mergeCell ref="F291:F292"/>
    <mergeCell ref="A290:A327"/>
    <mergeCell ref="B298:B312"/>
    <mergeCell ref="C298:C301"/>
    <mergeCell ref="C302:C303"/>
    <mergeCell ref="C305:C312"/>
    <mergeCell ref="B296:B297"/>
    <mergeCell ref="C296:C297"/>
    <mergeCell ref="C281:C282"/>
    <mergeCell ref="C283:C289"/>
    <mergeCell ref="B290:D290"/>
    <mergeCell ref="A268:A289"/>
    <mergeCell ref="B268:D268"/>
    <mergeCell ref="A336:A346"/>
    <mergeCell ref="B336:D336"/>
    <mergeCell ref="E337:E338"/>
    <mergeCell ref="F337:F338"/>
    <mergeCell ref="G337:G338"/>
    <mergeCell ref="H337:H338"/>
    <mergeCell ref="E329:E330"/>
    <mergeCell ref="F329:F330"/>
    <mergeCell ref="G329:G330"/>
    <mergeCell ref="H329:H330"/>
    <mergeCell ref="A328:A335"/>
    <mergeCell ref="B328:D328"/>
    <mergeCell ref="B331:B335"/>
    <mergeCell ref="C331:C332"/>
    <mergeCell ref="C333:C335"/>
    <mergeCell ref="H348:H349"/>
    <mergeCell ref="I348:I349"/>
    <mergeCell ref="J348:J349"/>
    <mergeCell ref="B349:B352"/>
    <mergeCell ref="B353:B358"/>
    <mergeCell ref="C353:C354"/>
    <mergeCell ref="C355:C358"/>
    <mergeCell ref="I337:I338"/>
    <mergeCell ref="J337:J338"/>
    <mergeCell ref="B339:B346"/>
    <mergeCell ref="C339:C340"/>
    <mergeCell ref="C341:C346"/>
    <mergeCell ref="B347:D347"/>
    <mergeCell ref="E348:E349"/>
    <mergeCell ref="F348:F349"/>
    <mergeCell ref="G348:G349"/>
    <mergeCell ref="A422:A467"/>
    <mergeCell ref="B422:D422"/>
    <mergeCell ref="B424:B425"/>
    <mergeCell ref="B426:B430"/>
    <mergeCell ref="C426:C427"/>
    <mergeCell ref="B359:B360"/>
    <mergeCell ref="C359:C360"/>
    <mergeCell ref="B361:B399"/>
    <mergeCell ref="C361:C368"/>
    <mergeCell ref="C369:C375"/>
    <mergeCell ref="C376:C386"/>
    <mergeCell ref="C387:C399"/>
    <mergeCell ref="A347:A421"/>
    <mergeCell ref="C428:C430"/>
    <mergeCell ref="B431:B455"/>
    <mergeCell ref="C431:C436"/>
    <mergeCell ref="C437:C443"/>
    <mergeCell ref="C445:C455"/>
    <mergeCell ref="B456:B467"/>
    <mergeCell ref="C456:C459"/>
    <mergeCell ref="C461:C467"/>
    <mergeCell ref="F423:F424"/>
    <mergeCell ref="G423:G424"/>
    <mergeCell ref="H423:H424"/>
    <mergeCell ref="I423:I424"/>
    <mergeCell ref="J423:J424"/>
    <mergeCell ref="B400:B421"/>
    <mergeCell ref="C400:C405"/>
    <mergeCell ref="C406:C407"/>
    <mergeCell ref="C408:C412"/>
    <mergeCell ref="C413:C421"/>
    <mergeCell ref="E423:E424"/>
    <mergeCell ref="I469:I470"/>
    <mergeCell ref="J469:J470"/>
    <mergeCell ref="B470:B472"/>
    <mergeCell ref="B473:B496"/>
    <mergeCell ref="C473:C478"/>
    <mergeCell ref="C479:C483"/>
    <mergeCell ref="C485:C496"/>
    <mergeCell ref="A468:A513"/>
    <mergeCell ref="B468:D468"/>
    <mergeCell ref="E469:E470"/>
    <mergeCell ref="F469:F470"/>
    <mergeCell ref="G469:G470"/>
    <mergeCell ref="H469:H470"/>
    <mergeCell ref="B497:B513"/>
    <mergeCell ref="C497:C501"/>
    <mergeCell ref="C502:C504"/>
    <mergeCell ref="C505:C513"/>
    <mergeCell ref="I515:I516"/>
    <mergeCell ref="J515:J516"/>
    <mergeCell ref="B516:B517"/>
    <mergeCell ref="B518:B527"/>
    <mergeCell ref="C519:C520"/>
    <mergeCell ref="C521:C527"/>
    <mergeCell ref="A514:A527"/>
    <mergeCell ref="B514:D514"/>
    <mergeCell ref="E515:E516"/>
    <mergeCell ref="F515:F516"/>
    <mergeCell ref="G515:G516"/>
    <mergeCell ref="H515:H516"/>
    <mergeCell ref="I529:I530"/>
    <mergeCell ref="J529:J530"/>
    <mergeCell ref="B530:B531"/>
    <mergeCell ref="B532:B548"/>
    <mergeCell ref="C532:C536"/>
    <mergeCell ref="C537:C538"/>
    <mergeCell ref="C540:C548"/>
    <mergeCell ref="A528:A552"/>
    <mergeCell ref="B528:D528"/>
    <mergeCell ref="E529:E530"/>
    <mergeCell ref="F529:F530"/>
    <mergeCell ref="G529:G530"/>
    <mergeCell ref="H529:H530"/>
    <mergeCell ref="B549:B552"/>
    <mergeCell ref="C551:C552"/>
    <mergeCell ref="A553:A603"/>
    <mergeCell ref="B553:D553"/>
    <mergeCell ref="E554:E555"/>
    <mergeCell ref="F554:F555"/>
    <mergeCell ref="G554:G555"/>
    <mergeCell ref="H554:H555"/>
    <mergeCell ref="B564:B565"/>
    <mergeCell ref="C564:C565"/>
    <mergeCell ref="B566:B586"/>
    <mergeCell ref="C566:C573"/>
    <mergeCell ref="C574:C576"/>
    <mergeCell ref="C577:C586"/>
    <mergeCell ref="B587:B603"/>
    <mergeCell ref="C587:C591"/>
    <mergeCell ref="C592:C596"/>
    <mergeCell ref="C597:C603"/>
    <mergeCell ref="I554:I555"/>
    <mergeCell ref="J554:J555"/>
    <mergeCell ref="B555:B557"/>
    <mergeCell ref="B558:B563"/>
    <mergeCell ref="C558:C559"/>
    <mergeCell ref="C560:C563"/>
    <mergeCell ref="J605:J606"/>
    <mergeCell ref="A607:A678"/>
    <mergeCell ref="B607:D607"/>
    <mergeCell ref="E608:E609"/>
    <mergeCell ref="F608:F609"/>
    <mergeCell ref="G608:G609"/>
    <mergeCell ref="H608:H609"/>
    <mergeCell ref="I608:I609"/>
    <mergeCell ref="J608:J609"/>
    <mergeCell ref="A604:A606"/>
    <mergeCell ref="B604:D604"/>
    <mergeCell ref="E605:E606"/>
    <mergeCell ref="F605:F606"/>
    <mergeCell ref="G605:G606"/>
    <mergeCell ref="H605:H606"/>
    <mergeCell ref="B609:B612"/>
    <mergeCell ref="B613:B614"/>
    <mergeCell ref="C613:C614"/>
    <mergeCell ref="B615:B656"/>
    <mergeCell ref="C615:C624"/>
    <mergeCell ref="C625:C635"/>
    <mergeCell ref="C636:C643"/>
    <mergeCell ref="C644:C656"/>
    <mergeCell ref="I605:I606"/>
    <mergeCell ref="G680:G681"/>
    <mergeCell ref="H680:H681"/>
    <mergeCell ref="I680:I681"/>
    <mergeCell ref="J680:J681"/>
    <mergeCell ref="B657:B678"/>
    <mergeCell ref="C657:C663"/>
    <mergeCell ref="C664:C668"/>
    <mergeCell ref="C669:C670"/>
    <mergeCell ref="C671:C678"/>
    <mergeCell ref="B679:D679"/>
    <mergeCell ref="A712:A755"/>
    <mergeCell ref="B712:D712"/>
    <mergeCell ref="E713:E714"/>
    <mergeCell ref="B717:B737"/>
    <mergeCell ref="C717:C722"/>
    <mergeCell ref="C723:C725"/>
    <mergeCell ref="C726:C737"/>
    <mergeCell ref="E680:E681"/>
    <mergeCell ref="F680:F681"/>
    <mergeCell ref="A679:A711"/>
    <mergeCell ref="B682:B704"/>
    <mergeCell ref="C682:C687"/>
    <mergeCell ref="C688:C692"/>
    <mergeCell ref="F713:F714"/>
    <mergeCell ref="G713:G714"/>
    <mergeCell ref="H713:H714"/>
    <mergeCell ref="I713:I714"/>
    <mergeCell ref="J713:J714"/>
    <mergeCell ref="B714:B716"/>
    <mergeCell ref="C694:C704"/>
    <mergeCell ref="B705:B711"/>
    <mergeCell ref="C707:C711"/>
    <mergeCell ref="E757:E758"/>
    <mergeCell ref="F757:F758"/>
    <mergeCell ref="G757:G758"/>
    <mergeCell ref="H757:H758"/>
    <mergeCell ref="I757:I758"/>
    <mergeCell ref="J757:J758"/>
    <mergeCell ref="B738:B755"/>
    <mergeCell ref="C738:C742"/>
    <mergeCell ref="C743:C747"/>
    <mergeCell ref="C748:C755"/>
    <mergeCell ref="B756:D756"/>
    <mergeCell ref="G775:G776"/>
    <mergeCell ref="H775:H776"/>
    <mergeCell ref="I775:I776"/>
    <mergeCell ref="J775:J776"/>
    <mergeCell ref="B776:B779"/>
    <mergeCell ref="C778:C779"/>
    <mergeCell ref="B772:B773"/>
    <mergeCell ref="C772:C773"/>
    <mergeCell ref="A774:A779"/>
    <mergeCell ref="B774:D774"/>
    <mergeCell ref="E775:E776"/>
    <mergeCell ref="F775:F776"/>
    <mergeCell ref="A756:A773"/>
    <mergeCell ref="B759:B771"/>
    <mergeCell ref="C759:C761"/>
    <mergeCell ref="C762:C764"/>
    <mergeCell ref="C765:C771"/>
    <mergeCell ref="I781:I782"/>
    <mergeCell ref="C840:C845"/>
    <mergeCell ref="E830:E831"/>
    <mergeCell ref="F830:F831"/>
    <mergeCell ref="G830:G831"/>
    <mergeCell ref="H830:H831"/>
    <mergeCell ref="I830:I831"/>
    <mergeCell ref="J781:J782"/>
    <mergeCell ref="B782:B784"/>
    <mergeCell ref="B785:B793"/>
    <mergeCell ref="C785:C786"/>
    <mergeCell ref="C787:C793"/>
    <mergeCell ref="E781:E782"/>
    <mergeCell ref="F781:F782"/>
    <mergeCell ref="G781:G782"/>
    <mergeCell ref="H781:H782"/>
    <mergeCell ref="B794:B795"/>
    <mergeCell ref="C794:C795"/>
    <mergeCell ref="B796:B820"/>
    <mergeCell ref="C796:C801"/>
    <mergeCell ref="B821:B828"/>
    <mergeCell ref="C823:C828"/>
    <mergeCell ref="J830:J831"/>
    <mergeCell ref="C802:C807"/>
    <mergeCell ref="C809:C820"/>
    <mergeCell ref="A829:A845"/>
    <mergeCell ref="B829:D829"/>
    <mergeCell ref="B831:B832"/>
    <mergeCell ref="B833:B845"/>
    <mergeCell ref="C833:C836"/>
    <mergeCell ref="C837:C839"/>
    <mergeCell ref="A780:A828"/>
    <mergeCell ref="B780:D780"/>
  </mergeCells>
  <pageMargins left="0.7" right="0.7" top="0.75" bottom="0.75" header="0.3" footer="0.3"/>
  <pageSetup paperSize="8" scale="90" fitToHeight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4"/>
  <sheetViews>
    <sheetView workbookViewId="0"/>
  </sheetViews>
  <sheetFormatPr defaultColWidth="11.42578125" defaultRowHeight="11.25" x14ac:dyDescent="0.2"/>
  <cols>
    <col min="1" max="1" width="27" style="266" bestFit="1" customWidth="1"/>
    <col min="2" max="2" width="19" style="266" bestFit="1" customWidth="1"/>
    <col min="3" max="3" width="14" style="266" bestFit="1" customWidth="1"/>
    <col min="4" max="4" width="16" style="266" bestFit="1" customWidth="1"/>
    <col min="5" max="5" width="7" style="266" bestFit="1" customWidth="1"/>
    <col min="6" max="6" width="12.7109375" style="266" customWidth="1"/>
    <col min="7" max="7" width="14" style="266" bestFit="1" customWidth="1"/>
    <col min="8" max="9" width="12" style="266" bestFit="1" customWidth="1"/>
    <col min="10" max="10" width="14" style="266" bestFit="1" customWidth="1"/>
    <col min="11" max="16384" width="11.42578125" style="266"/>
  </cols>
  <sheetData>
    <row r="1" spans="1:10" ht="14.25" x14ac:dyDescent="0.2">
      <c r="A1" s="271" t="s">
        <v>158</v>
      </c>
      <c r="B1" s="271"/>
      <c r="C1" s="271"/>
      <c r="D1" s="271"/>
      <c r="E1" s="271"/>
      <c r="F1" s="271"/>
      <c r="G1" s="271"/>
      <c r="H1" s="271"/>
      <c r="I1" s="271"/>
    </row>
    <row r="3" spans="1:10" ht="42.95" customHeight="1" x14ac:dyDescent="0.2">
      <c r="A3" s="283" t="s">
        <v>238</v>
      </c>
      <c r="B3" s="283"/>
      <c r="C3" s="283"/>
      <c r="D3" s="283"/>
      <c r="E3" s="268" t="s">
        <v>68</v>
      </c>
      <c r="F3" s="269" t="s">
        <v>239</v>
      </c>
      <c r="G3" s="269" t="s">
        <v>240</v>
      </c>
      <c r="H3" s="269" t="s">
        <v>241</v>
      </c>
      <c r="I3" s="269" t="s">
        <v>242</v>
      </c>
      <c r="J3" s="268" t="s">
        <v>69</v>
      </c>
    </row>
    <row r="4" spans="1:10" ht="14.1" customHeight="1" x14ac:dyDescent="0.2">
      <c r="A4" s="261" t="s">
        <v>70</v>
      </c>
      <c r="B4" s="261" t="s">
        <v>238</v>
      </c>
      <c r="C4" s="261" t="s">
        <v>238</v>
      </c>
      <c r="D4" s="261" t="s">
        <v>238</v>
      </c>
      <c r="E4" s="284">
        <v>49670</v>
      </c>
      <c r="F4" s="284"/>
      <c r="G4" s="284">
        <v>741748407</v>
      </c>
      <c r="H4" s="284"/>
      <c r="I4" s="284">
        <v>74495677</v>
      </c>
      <c r="J4" s="284">
        <v>667252730</v>
      </c>
    </row>
    <row r="5" spans="1:10" ht="14.1" customHeight="1" x14ac:dyDescent="0.2">
      <c r="A5" s="278" t="s">
        <v>1</v>
      </c>
      <c r="B5" s="278" t="s">
        <v>60</v>
      </c>
      <c r="C5" s="278"/>
      <c r="D5" s="278"/>
      <c r="E5" s="285"/>
      <c r="F5" s="285"/>
      <c r="G5" s="285"/>
      <c r="H5" s="285"/>
      <c r="I5" s="285"/>
      <c r="J5" s="285"/>
    </row>
    <row r="6" spans="1:10" ht="14.1" customHeight="1" x14ac:dyDescent="0.2">
      <c r="A6" s="278"/>
      <c r="B6" s="261" t="s">
        <v>71</v>
      </c>
      <c r="C6" s="261" t="s">
        <v>72</v>
      </c>
      <c r="D6" s="261" t="s">
        <v>73</v>
      </c>
      <c r="E6" s="284">
        <v>7</v>
      </c>
      <c r="F6" s="284">
        <v>11382</v>
      </c>
      <c r="G6" s="284">
        <v>79677</v>
      </c>
      <c r="H6" s="284">
        <v>0</v>
      </c>
      <c r="I6" s="284">
        <v>0</v>
      </c>
      <c r="J6" s="284">
        <v>79677</v>
      </c>
    </row>
    <row r="7" spans="1:10" ht="14.1" customHeight="1" x14ac:dyDescent="0.2">
      <c r="A7" s="278"/>
      <c r="B7" s="279" t="s">
        <v>74</v>
      </c>
      <c r="C7" s="262" t="s">
        <v>75</v>
      </c>
      <c r="D7" s="261" t="s">
        <v>77</v>
      </c>
      <c r="E7" s="285"/>
      <c r="F7" s="285"/>
      <c r="G7" s="285"/>
      <c r="H7" s="285"/>
      <c r="I7" s="285"/>
      <c r="J7" s="285"/>
    </row>
    <row r="8" spans="1:10" ht="42.95" customHeight="1" x14ac:dyDescent="0.2">
      <c r="A8" s="278"/>
      <c r="B8" s="278"/>
      <c r="C8" s="263" t="s">
        <v>243</v>
      </c>
      <c r="D8" s="261" t="s">
        <v>79</v>
      </c>
      <c r="E8" s="267">
        <v>5</v>
      </c>
      <c r="F8" s="267">
        <v>12852</v>
      </c>
      <c r="G8" s="267">
        <v>64258</v>
      </c>
      <c r="H8" s="267">
        <v>2657</v>
      </c>
      <c r="I8" s="267">
        <v>13285</v>
      </c>
      <c r="J8" s="267">
        <v>50973</v>
      </c>
    </row>
    <row r="9" spans="1:10" ht="42.95" customHeight="1" x14ac:dyDescent="0.2">
      <c r="A9" s="278"/>
      <c r="B9" s="278"/>
      <c r="C9" s="263" t="s">
        <v>244</v>
      </c>
      <c r="D9" s="261" t="s">
        <v>79</v>
      </c>
      <c r="E9" s="267">
        <v>116</v>
      </c>
      <c r="F9" s="267">
        <v>12616</v>
      </c>
      <c r="G9" s="267">
        <v>1463513</v>
      </c>
      <c r="H9" s="267">
        <v>2430</v>
      </c>
      <c r="I9" s="267">
        <v>281842</v>
      </c>
      <c r="J9" s="267">
        <v>1181671</v>
      </c>
    </row>
    <row r="10" spans="1:10" ht="42.95" customHeight="1" x14ac:dyDescent="0.2">
      <c r="A10" s="278"/>
      <c r="B10" s="278"/>
      <c r="C10" s="263" t="s">
        <v>245</v>
      </c>
      <c r="D10" s="261" t="s">
        <v>79</v>
      </c>
      <c r="E10" s="267">
        <v>4688</v>
      </c>
      <c r="F10" s="267">
        <v>12172</v>
      </c>
      <c r="G10" s="267">
        <v>57064432</v>
      </c>
      <c r="H10" s="267">
        <v>1978</v>
      </c>
      <c r="I10" s="267">
        <v>9272123</v>
      </c>
      <c r="J10" s="267">
        <v>47792308</v>
      </c>
    </row>
    <row r="11" spans="1:10" ht="14.1" customHeight="1" x14ac:dyDescent="0.2">
      <c r="A11" s="278"/>
      <c r="B11" s="279" t="s">
        <v>80</v>
      </c>
      <c r="C11" s="280" t="s">
        <v>75</v>
      </c>
      <c r="D11" s="261" t="s">
        <v>81</v>
      </c>
      <c r="E11" s="267">
        <v>414</v>
      </c>
      <c r="F11" s="267">
        <v>22977</v>
      </c>
      <c r="G11" s="267">
        <v>9512345</v>
      </c>
      <c r="H11" s="267">
        <v>3812</v>
      </c>
      <c r="I11" s="267">
        <v>1577989</v>
      </c>
      <c r="J11" s="267">
        <v>7934356</v>
      </c>
    </row>
    <row r="12" spans="1:10" ht="14.1" customHeight="1" x14ac:dyDescent="0.2">
      <c r="A12" s="278"/>
      <c r="B12" s="278"/>
      <c r="C12" s="278"/>
      <c r="D12" s="261" t="s">
        <v>82</v>
      </c>
      <c r="E12" s="267">
        <v>614</v>
      </c>
      <c r="F12" s="267">
        <v>19789</v>
      </c>
      <c r="G12" s="267">
        <v>12150556</v>
      </c>
      <c r="H12" s="267">
        <v>3812</v>
      </c>
      <c r="I12" s="267">
        <v>2340302</v>
      </c>
      <c r="J12" s="267">
        <v>9810254</v>
      </c>
    </row>
    <row r="13" spans="1:10" ht="42.95" customHeight="1" x14ac:dyDescent="0.2">
      <c r="A13" s="278"/>
      <c r="B13" s="277" t="s">
        <v>246</v>
      </c>
      <c r="C13" s="280" t="s">
        <v>75</v>
      </c>
      <c r="D13" s="261" t="s">
        <v>99</v>
      </c>
      <c r="E13" s="267">
        <v>2</v>
      </c>
      <c r="F13" s="267">
        <v>30330</v>
      </c>
      <c r="G13" s="267">
        <v>60661</v>
      </c>
      <c r="H13" s="267">
        <v>0</v>
      </c>
      <c r="I13" s="267">
        <v>0</v>
      </c>
      <c r="J13" s="267">
        <v>60661</v>
      </c>
    </row>
    <row r="14" spans="1:10" ht="14.1" customHeight="1" x14ac:dyDescent="0.2">
      <c r="A14" s="278"/>
      <c r="B14" s="278"/>
      <c r="C14" s="278"/>
      <c r="D14" s="261" t="s">
        <v>91</v>
      </c>
      <c r="E14" s="267">
        <v>4</v>
      </c>
      <c r="F14" s="267">
        <v>18108</v>
      </c>
      <c r="G14" s="267">
        <v>72432</v>
      </c>
      <c r="H14" s="267">
        <v>0</v>
      </c>
      <c r="I14" s="267">
        <v>0</v>
      </c>
      <c r="J14" s="267">
        <v>72432</v>
      </c>
    </row>
    <row r="15" spans="1:10" ht="14.1" customHeight="1" x14ac:dyDescent="0.2">
      <c r="A15" s="278"/>
      <c r="B15" s="278"/>
      <c r="C15" s="278"/>
      <c r="D15" s="261" t="s">
        <v>97</v>
      </c>
      <c r="E15" s="267">
        <v>1</v>
      </c>
      <c r="F15" s="267">
        <v>11317</v>
      </c>
      <c r="G15" s="267">
        <v>11317</v>
      </c>
      <c r="H15" s="267">
        <v>0</v>
      </c>
      <c r="I15" s="267">
        <v>0</v>
      </c>
      <c r="J15" s="267">
        <v>11317</v>
      </c>
    </row>
    <row r="16" spans="1:10" ht="14.1" customHeight="1" x14ac:dyDescent="0.2">
      <c r="A16" s="278"/>
      <c r="B16" s="278"/>
      <c r="C16" s="278"/>
      <c r="D16" s="261" t="s">
        <v>90</v>
      </c>
      <c r="E16" s="267">
        <v>1</v>
      </c>
      <c r="F16" s="267">
        <v>7696</v>
      </c>
      <c r="G16" s="267">
        <v>7696</v>
      </c>
      <c r="H16" s="267">
        <v>0</v>
      </c>
      <c r="I16" s="267">
        <v>0</v>
      </c>
      <c r="J16" s="267">
        <v>7696</v>
      </c>
    </row>
    <row r="17" spans="1:10" ht="14.1" customHeight="1" x14ac:dyDescent="0.2">
      <c r="A17" s="278"/>
      <c r="B17" s="278"/>
      <c r="C17" s="278"/>
      <c r="D17" s="261" t="s">
        <v>76</v>
      </c>
      <c r="E17" s="267">
        <v>1</v>
      </c>
      <c r="F17" s="267">
        <v>36385</v>
      </c>
      <c r="G17" s="267">
        <v>36385</v>
      </c>
      <c r="H17" s="267">
        <v>0</v>
      </c>
      <c r="I17" s="267">
        <v>0</v>
      </c>
      <c r="J17" s="267">
        <v>36385</v>
      </c>
    </row>
    <row r="18" spans="1:10" ht="14.1" customHeight="1" x14ac:dyDescent="0.2">
      <c r="A18" s="278"/>
      <c r="B18" s="278"/>
      <c r="C18" s="278"/>
      <c r="D18" s="261" t="s">
        <v>155</v>
      </c>
      <c r="E18" s="267">
        <v>1</v>
      </c>
      <c r="F18" s="267">
        <v>4362</v>
      </c>
      <c r="G18" s="267">
        <v>4362</v>
      </c>
      <c r="H18" s="267">
        <v>0</v>
      </c>
      <c r="I18" s="267">
        <v>0</v>
      </c>
      <c r="J18" s="267">
        <v>4362</v>
      </c>
    </row>
    <row r="19" spans="1:10" ht="14.1" customHeight="1" x14ac:dyDescent="0.2">
      <c r="A19" s="278"/>
      <c r="B19" s="278"/>
      <c r="C19" s="278"/>
      <c r="D19" s="261" t="s">
        <v>151</v>
      </c>
      <c r="E19" s="267">
        <v>6</v>
      </c>
      <c r="F19" s="267">
        <v>5752</v>
      </c>
      <c r="G19" s="267">
        <v>34514</v>
      </c>
      <c r="H19" s="267">
        <v>0</v>
      </c>
      <c r="I19" s="267">
        <v>0</v>
      </c>
      <c r="J19" s="267">
        <v>34514</v>
      </c>
    </row>
    <row r="20" spans="1:10" ht="42.95" customHeight="1" x14ac:dyDescent="0.2">
      <c r="A20" s="278"/>
      <c r="B20" s="278"/>
      <c r="C20" s="277" t="s">
        <v>243</v>
      </c>
      <c r="D20" s="261" t="s">
        <v>83</v>
      </c>
      <c r="E20" s="267">
        <v>107</v>
      </c>
      <c r="F20" s="267">
        <v>3452</v>
      </c>
      <c r="G20" s="267">
        <v>369346</v>
      </c>
      <c r="H20" s="267">
        <v>1469</v>
      </c>
      <c r="I20" s="267">
        <v>157201</v>
      </c>
      <c r="J20" s="267">
        <v>212145</v>
      </c>
    </row>
    <row r="21" spans="1:10" ht="14.1" customHeight="1" x14ac:dyDescent="0.2">
      <c r="A21" s="278"/>
      <c r="B21" s="278"/>
      <c r="C21" s="278"/>
      <c r="D21" s="261" t="s">
        <v>87</v>
      </c>
      <c r="E21" s="267">
        <v>1</v>
      </c>
      <c r="F21" s="267">
        <v>12786</v>
      </c>
      <c r="G21" s="267">
        <v>12786</v>
      </c>
      <c r="H21" s="267">
        <v>1469</v>
      </c>
      <c r="I21" s="267">
        <v>1469</v>
      </c>
      <c r="J21" s="267">
        <v>11317</v>
      </c>
    </row>
    <row r="22" spans="1:10" ht="14.1" customHeight="1" x14ac:dyDescent="0.2">
      <c r="A22" s="278"/>
      <c r="B22" s="278"/>
      <c r="C22" s="278"/>
      <c r="D22" s="261" t="s">
        <v>96</v>
      </c>
      <c r="E22" s="267">
        <v>1</v>
      </c>
      <c r="F22" s="267">
        <v>4186</v>
      </c>
      <c r="G22" s="267">
        <v>4186</v>
      </c>
      <c r="H22" s="267">
        <v>1469</v>
      </c>
      <c r="I22" s="267">
        <v>1469</v>
      </c>
      <c r="J22" s="267">
        <v>2717</v>
      </c>
    </row>
    <row r="23" spans="1:10" ht="14.1" customHeight="1" x14ac:dyDescent="0.2">
      <c r="A23" s="278"/>
      <c r="B23" s="278"/>
      <c r="C23" s="278"/>
      <c r="D23" s="261" t="s">
        <v>78</v>
      </c>
      <c r="E23" s="267">
        <v>7</v>
      </c>
      <c r="F23" s="267">
        <v>37855</v>
      </c>
      <c r="G23" s="267">
        <v>264982</v>
      </c>
      <c r="H23" s="267">
        <v>1469</v>
      </c>
      <c r="I23" s="267">
        <v>10284</v>
      </c>
      <c r="J23" s="267">
        <v>254697</v>
      </c>
    </row>
    <row r="24" spans="1:10" ht="14.1" customHeight="1" x14ac:dyDescent="0.2">
      <c r="A24" s="278"/>
      <c r="B24" s="278"/>
      <c r="C24" s="278"/>
      <c r="D24" s="261" t="s">
        <v>152</v>
      </c>
      <c r="E24" s="267">
        <v>12</v>
      </c>
      <c r="F24" s="267">
        <v>28681</v>
      </c>
      <c r="G24" s="267">
        <v>344173</v>
      </c>
      <c r="H24" s="267">
        <v>1469</v>
      </c>
      <c r="I24" s="267">
        <v>17630</v>
      </c>
      <c r="J24" s="267">
        <v>326543</v>
      </c>
    </row>
    <row r="25" spans="1:10" ht="14.1" customHeight="1" x14ac:dyDescent="0.2">
      <c r="A25" s="278"/>
      <c r="B25" s="278"/>
      <c r="C25" s="278"/>
      <c r="D25" s="261" t="s">
        <v>153</v>
      </c>
      <c r="E25" s="267">
        <v>21</v>
      </c>
      <c r="F25" s="267">
        <v>5831</v>
      </c>
      <c r="G25" s="267">
        <v>122460</v>
      </c>
      <c r="H25" s="267">
        <v>1469</v>
      </c>
      <c r="I25" s="267">
        <v>30853</v>
      </c>
      <c r="J25" s="267">
        <v>91607</v>
      </c>
    </row>
    <row r="26" spans="1:10" ht="14.1" customHeight="1" x14ac:dyDescent="0.2">
      <c r="A26" s="278"/>
      <c r="B26" s="278"/>
      <c r="C26" s="278"/>
      <c r="D26" s="261" t="s">
        <v>154</v>
      </c>
      <c r="E26" s="267">
        <v>9</v>
      </c>
      <c r="F26" s="267">
        <v>7222</v>
      </c>
      <c r="G26" s="267">
        <v>64994</v>
      </c>
      <c r="H26" s="267">
        <v>1469</v>
      </c>
      <c r="I26" s="267">
        <v>13223</v>
      </c>
      <c r="J26" s="267">
        <v>51772</v>
      </c>
    </row>
    <row r="27" spans="1:10" ht="42.95" customHeight="1" x14ac:dyDescent="0.2">
      <c r="A27" s="278"/>
      <c r="B27" s="278"/>
      <c r="C27" s="277" t="s">
        <v>244</v>
      </c>
      <c r="D27" s="261" t="s">
        <v>78</v>
      </c>
      <c r="E27" s="267">
        <v>12</v>
      </c>
      <c r="F27" s="267">
        <v>37514</v>
      </c>
      <c r="G27" s="267">
        <v>450171</v>
      </c>
      <c r="H27" s="267">
        <v>1242</v>
      </c>
      <c r="I27" s="267">
        <v>14902</v>
      </c>
      <c r="J27" s="267">
        <v>435269</v>
      </c>
    </row>
    <row r="28" spans="1:10" ht="14.1" customHeight="1" x14ac:dyDescent="0.2">
      <c r="A28" s="278"/>
      <c r="B28" s="278"/>
      <c r="C28" s="278"/>
      <c r="D28" s="261" t="s">
        <v>153</v>
      </c>
      <c r="E28" s="267">
        <v>2</v>
      </c>
      <c r="F28" s="267">
        <v>5378</v>
      </c>
      <c r="G28" s="267">
        <v>10756</v>
      </c>
      <c r="H28" s="267">
        <v>1242</v>
      </c>
      <c r="I28" s="267">
        <v>2484</v>
      </c>
      <c r="J28" s="267">
        <v>8273</v>
      </c>
    </row>
    <row r="29" spans="1:10" ht="14.1" customHeight="1" x14ac:dyDescent="0.2">
      <c r="A29" s="278"/>
      <c r="B29" s="278"/>
      <c r="C29" s="278"/>
      <c r="D29" s="261" t="s">
        <v>154</v>
      </c>
      <c r="E29" s="267">
        <v>212</v>
      </c>
      <c r="F29" s="267">
        <v>6805</v>
      </c>
      <c r="G29" s="267">
        <v>1442562</v>
      </c>
      <c r="H29" s="267">
        <v>1242</v>
      </c>
      <c r="I29" s="267">
        <v>263264</v>
      </c>
      <c r="J29" s="267">
        <v>1179298</v>
      </c>
    </row>
    <row r="30" spans="1:10" ht="42.95" customHeight="1" x14ac:dyDescent="0.2">
      <c r="A30" s="278"/>
      <c r="B30" s="278"/>
      <c r="C30" s="277" t="s">
        <v>245</v>
      </c>
      <c r="D30" s="261" t="s">
        <v>83</v>
      </c>
      <c r="E30" s="267">
        <v>5772</v>
      </c>
      <c r="F30" s="267">
        <v>2773</v>
      </c>
      <c r="G30" s="267">
        <v>16003676</v>
      </c>
      <c r="H30" s="267">
        <v>790</v>
      </c>
      <c r="I30" s="267">
        <v>4559769</v>
      </c>
      <c r="J30" s="267">
        <v>11443908</v>
      </c>
    </row>
    <row r="31" spans="1:10" ht="14.1" customHeight="1" x14ac:dyDescent="0.2">
      <c r="A31" s="278"/>
      <c r="B31" s="278"/>
      <c r="C31" s="278"/>
      <c r="D31" s="261" t="s">
        <v>102</v>
      </c>
      <c r="E31" s="267">
        <v>35</v>
      </c>
      <c r="F31" s="267">
        <v>97664</v>
      </c>
      <c r="G31" s="267">
        <v>3418232</v>
      </c>
      <c r="H31" s="267">
        <v>790</v>
      </c>
      <c r="I31" s="267">
        <v>27649</v>
      </c>
      <c r="J31" s="267">
        <v>3390583</v>
      </c>
    </row>
    <row r="32" spans="1:10" ht="14.1" customHeight="1" x14ac:dyDescent="0.2">
      <c r="A32" s="278"/>
      <c r="B32" s="278"/>
      <c r="C32" s="278"/>
      <c r="D32" s="261" t="s">
        <v>118</v>
      </c>
      <c r="E32" s="267">
        <v>1</v>
      </c>
      <c r="F32" s="267">
        <v>51490</v>
      </c>
      <c r="G32" s="267">
        <v>51490</v>
      </c>
      <c r="H32" s="267">
        <v>790</v>
      </c>
      <c r="I32" s="267">
        <v>790</v>
      </c>
      <c r="J32" s="267">
        <v>50700</v>
      </c>
    </row>
    <row r="33" spans="1:10" ht="14.1" customHeight="1" x14ac:dyDescent="0.2">
      <c r="A33" s="278"/>
      <c r="B33" s="278"/>
      <c r="C33" s="278"/>
      <c r="D33" s="261" t="s">
        <v>92</v>
      </c>
      <c r="E33" s="267">
        <v>545</v>
      </c>
      <c r="F33" s="267">
        <v>31120</v>
      </c>
      <c r="G33" s="267">
        <v>16960631</v>
      </c>
      <c r="H33" s="267">
        <v>790</v>
      </c>
      <c r="I33" s="267">
        <v>430539</v>
      </c>
      <c r="J33" s="267">
        <v>16530092</v>
      </c>
    </row>
    <row r="34" spans="1:10" ht="14.1" customHeight="1" x14ac:dyDescent="0.2">
      <c r="A34" s="278"/>
      <c r="B34" s="278"/>
      <c r="C34" s="278"/>
      <c r="D34" s="261" t="s">
        <v>86</v>
      </c>
      <c r="E34" s="267">
        <v>1055</v>
      </c>
      <c r="F34" s="267">
        <v>18898</v>
      </c>
      <c r="G34" s="267">
        <v>19937264</v>
      </c>
      <c r="H34" s="267">
        <v>790</v>
      </c>
      <c r="I34" s="267">
        <v>833430</v>
      </c>
      <c r="J34" s="267">
        <v>19103834</v>
      </c>
    </row>
    <row r="35" spans="1:10" ht="14.1" customHeight="1" x14ac:dyDescent="0.2">
      <c r="A35" s="278"/>
      <c r="B35" s="278"/>
      <c r="C35" s="278"/>
      <c r="D35" s="261" t="s">
        <v>87</v>
      </c>
      <c r="E35" s="267">
        <v>648</v>
      </c>
      <c r="F35" s="267">
        <v>12107</v>
      </c>
      <c r="G35" s="267">
        <v>7845295</v>
      </c>
      <c r="H35" s="267">
        <v>790</v>
      </c>
      <c r="I35" s="267">
        <v>511908</v>
      </c>
      <c r="J35" s="267">
        <v>7333387</v>
      </c>
    </row>
    <row r="36" spans="1:10" ht="14.1" customHeight="1" x14ac:dyDescent="0.2">
      <c r="A36" s="278"/>
      <c r="B36" s="278"/>
      <c r="C36" s="278"/>
      <c r="D36" s="261" t="s">
        <v>84</v>
      </c>
      <c r="E36" s="267">
        <v>341</v>
      </c>
      <c r="F36" s="267">
        <v>8486</v>
      </c>
      <c r="G36" s="267">
        <v>2893572</v>
      </c>
      <c r="H36" s="267">
        <v>790</v>
      </c>
      <c r="I36" s="267">
        <v>269383</v>
      </c>
      <c r="J36" s="267">
        <v>2624189</v>
      </c>
    </row>
    <row r="37" spans="1:10" ht="14.1" customHeight="1" x14ac:dyDescent="0.2">
      <c r="A37" s="278"/>
      <c r="B37" s="278"/>
      <c r="C37" s="278"/>
      <c r="D37" s="261" t="s">
        <v>85</v>
      </c>
      <c r="E37" s="267">
        <v>36</v>
      </c>
      <c r="F37" s="267">
        <v>5771</v>
      </c>
      <c r="G37" s="267">
        <v>207746</v>
      </c>
      <c r="H37" s="267">
        <v>790</v>
      </c>
      <c r="I37" s="267">
        <v>28439</v>
      </c>
      <c r="J37" s="267">
        <v>179306</v>
      </c>
    </row>
    <row r="38" spans="1:10" ht="14.1" customHeight="1" x14ac:dyDescent="0.2">
      <c r="A38" s="278"/>
      <c r="B38" s="278"/>
      <c r="C38" s="278"/>
      <c r="D38" s="261" t="s">
        <v>96</v>
      </c>
      <c r="E38" s="267">
        <v>73</v>
      </c>
      <c r="F38" s="267">
        <v>3507</v>
      </c>
      <c r="G38" s="267">
        <v>255992</v>
      </c>
      <c r="H38" s="267">
        <v>790</v>
      </c>
      <c r="I38" s="267">
        <v>57669</v>
      </c>
      <c r="J38" s="267">
        <v>198324</v>
      </c>
    </row>
    <row r="39" spans="1:10" ht="14.1" customHeight="1" x14ac:dyDescent="0.2">
      <c r="A39" s="278"/>
      <c r="B39" s="278"/>
      <c r="C39" s="278"/>
      <c r="D39" s="261" t="s">
        <v>88</v>
      </c>
      <c r="E39" s="267">
        <v>16</v>
      </c>
      <c r="F39" s="267">
        <v>2149</v>
      </c>
      <c r="G39" s="267">
        <v>34389</v>
      </c>
      <c r="H39" s="267">
        <v>790</v>
      </c>
      <c r="I39" s="267">
        <v>12640</v>
      </c>
      <c r="J39" s="267">
        <v>21750</v>
      </c>
    </row>
    <row r="40" spans="1:10" ht="14.1" customHeight="1" x14ac:dyDescent="0.2">
      <c r="A40" s="278"/>
      <c r="B40" s="278"/>
      <c r="C40" s="278"/>
      <c r="D40" s="261" t="s">
        <v>78</v>
      </c>
      <c r="E40" s="267">
        <v>8124</v>
      </c>
      <c r="F40" s="267">
        <v>37175</v>
      </c>
      <c r="G40" s="267">
        <v>302012439</v>
      </c>
      <c r="H40" s="267">
        <v>790</v>
      </c>
      <c r="I40" s="267">
        <v>6417803</v>
      </c>
      <c r="J40" s="267">
        <v>295594636</v>
      </c>
    </row>
    <row r="41" spans="1:10" ht="14.1" customHeight="1" x14ac:dyDescent="0.2">
      <c r="A41" s="278"/>
      <c r="B41" s="278"/>
      <c r="C41" s="278"/>
      <c r="D41" s="261" t="s">
        <v>152</v>
      </c>
      <c r="E41" s="267">
        <v>106</v>
      </c>
      <c r="F41" s="267">
        <v>28002</v>
      </c>
      <c r="G41" s="267">
        <v>2968204</v>
      </c>
      <c r="H41" s="267">
        <v>790</v>
      </c>
      <c r="I41" s="267">
        <v>83738</v>
      </c>
      <c r="J41" s="267">
        <v>2884466</v>
      </c>
    </row>
    <row r="42" spans="1:10" ht="14.1" customHeight="1" x14ac:dyDescent="0.2">
      <c r="A42" s="278"/>
      <c r="B42" s="278"/>
      <c r="C42" s="278"/>
      <c r="D42" s="261" t="s">
        <v>153</v>
      </c>
      <c r="E42" s="267">
        <v>53</v>
      </c>
      <c r="F42" s="267">
        <v>5152</v>
      </c>
      <c r="G42" s="267">
        <v>273067</v>
      </c>
      <c r="H42" s="267">
        <v>790</v>
      </c>
      <c r="I42" s="267">
        <v>41869</v>
      </c>
      <c r="J42" s="267">
        <v>231198</v>
      </c>
    </row>
    <row r="43" spans="1:10" ht="14.1" customHeight="1" x14ac:dyDescent="0.2">
      <c r="A43" s="278"/>
      <c r="B43" s="278"/>
      <c r="C43" s="278"/>
      <c r="D43" s="261" t="s">
        <v>154</v>
      </c>
      <c r="E43" s="267">
        <v>4582</v>
      </c>
      <c r="F43" s="267">
        <v>6542</v>
      </c>
      <c r="G43" s="267">
        <v>29977227</v>
      </c>
      <c r="H43" s="267">
        <v>790</v>
      </c>
      <c r="I43" s="267">
        <v>3619692</v>
      </c>
      <c r="J43" s="267">
        <v>26357536</v>
      </c>
    </row>
    <row r="44" spans="1:10" ht="29.1" customHeight="1" x14ac:dyDescent="0.2">
      <c r="A44" s="278"/>
      <c r="B44" s="277" t="s">
        <v>247</v>
      </c>
      <c r="C44" s="280" t="s">
        <v>75</v>
      </c>
      <c r="D44" s="261" t="s">
        <v>99</v>
      </c>
      <c r="E44" s="267">
        <v>1</v>
      </c>
      <c r="F44" s="267">
        <v>30330</v>
      </c>
      <c r="G44" s="267">
        <v>30330</v>
      </c>
      <c r="H44" s="267">
        <v>1188</v>
      </c>
      <c r="I44" s="267">
        <v>1188</v>
      </c>
      <c r="J44" s="267">
        <v>29143</v>
      </c>
    </row>
    <row r="45" spans="1:10" ht="14.1" customHeight="1" x14ac:dyDescent="0.2">
      <c r="A45" s="278"/>
      <c r="B45" s="278"/>
      <c r="C45" s="278"/>
      <c r="D45" s="261" t="s">
        <v>91</v>
      </c>
      <c r="E45" s="267">
        <v>1</v>
      </c>
      <c r="F45" s="267">
        <v>18108</v>
      </c>
      <c r="G45" s="267">
        <v>18108</v>
      </c>
      <c r="H45" s="267">
        <v>1188</v>
      </c>
      <c r="I45" s="267">
        <v>1188</v>
      </c>
      <c r="J45" s="267">
        <v>16920</v>
      </c>
    </row>
    <row r="46" spans="1:10" ht="14.1" customHeight="1" x14ac:dyDescent="0.2">
      <c r="A46" s="278"/>
      <c r="B46" s="278"/>
      <c r="C46" s="278"/>
      <c r="D46" s="261" t="s">
        <v>90</v>
      </c>
      <c r="E46" s="267">
        <v>13</v>
      </c>
      <c r="F46" s="267">
        <v>7696</v>
      </c>
      <c r="G46" s="267">
        <v>100042</v>
      </c>
      <c r="H46" s="267">
        <v>1188</v>
      </c>
      <c r="I46" s="267">
        <v>15442</v>
      </c>
      <c r="J46" s="267">
        <v>84600</v>
      </c>
    </row>
    <row r="47" spans="1:10" ht="14.1" customHeight="1" x14ac:dyDescent="0.2">
      <c r="A47" s="278"/>
      <c r="B47" s="278"/>
      <c r="C47" s="278"/>
      <c r="D47" s="261" t="s">
        <v>103</v>
      </c>
      <c r="E47" s="267">
        <v>2</v>
      </c>
      <c r="F47" s="267">
        <v>1359</v>
      </c>
      <c r="G47" s="267">
        <v>2719</v>
      </c>
      <c r="H47" s="267">
        <v>1188</v>
      </c>
      <c r="I47" s="267">
        <v>2376</v>
      </c>
      <c r="J47" s="267">
        <v>343</v>
      </c>
    </row>
    <row r="48" spans="1:10" ht="42.95" customHeight="1" x14ac:dyDescent="0.2">
      <c r="A48" s="278"/>
      <c r="B48" s="278"/>
      <c r="C48" s="277" t="s">
        <v>243</v>
      </c>
      <c r="D48" s="261" t="s">
        <v>86</v>
      </c>
      <c r="E48" s="267">
        <v>1</v>
      </c>
      <c r="F48" s="267">
        <v>19577</v>
      </c>
      <c r="G48" s="267">
        <v>19577</v>
      </c>
      <c r="H48" s="267">
        <v>2657</v>
      </c>
      <c r="I48" s="267">
        <v>2657</v>
      </c>
      <c r="J48" s="267">
        <v>16920</v>
      </c>
    </row>
    <row r="49" spans="1:10" ht="14.1" customHeight="1" x14ac:dyDescent="0.2">
      <c r="A49" s="278"/>
      <c r="B49" s="278"/>
      <c r="C49" s="278"/>
      <c r="D49" s="261" t="s">
        <v>87</v>
      </c>
      <c r="E49" s="267">
        <v>8</v>
      </c>
      <c r="F49" s="267">
        <v>12786</v>
      </c>
      <c r="G49" s="267">
        <v>102289</v>
      </c>
      <c r="H49" s="267">
        <v>2657</v>
      </c>
      <c r="I49" s="267">
        <v>21256</v>
      </c>
      <c r="J49" s="267">
        <v>81033</v>
      </c>
    </row>
    <row r="50" spans="1:10" ht="14.1" customHeight="1" x14ac:dyDescent="0.2">
      <c r="A50" s="278"/>
      <c r="B50" s="278"/>
      <c r="C50" s="278"/>
      <c r="D50" s="261" t="s">
        <v>84</v>
      </c>
      <c r="E50" s="267">
        <v>29</v>
      </c>
      <c r="F50" s="267">
        <v>9165</v>
      </c>
      <c r="G50" s="267">
        <v>265777</v>
      </c>
      <c r="H50" s="267">
        <v>2657</v>
      </c>
      <c r="I50" s="267">
        <v>77054</v>
      </c>
      <c r="J50" s="267">
        <v>188724</v>
      </c>
    </row>
    <row r="51" spans="1:10" ht="42.95" customHeight="1" x14ac:dyDescent="0.2">
      <c r="A51" s="278"/>
      <c r="B51" s="278"/>
      <c r="C51" s="277" t="s">
        <v>245</v>
      </c>
      <c r="D51" s="261" t="s">
        <v>102</v>
      </c>
      <c r="E51" s="267">
        <v>23</v>
      </c>
      <c r="F51" s="267">
        <v>97664</v>
      </c>
      <c r="G51" s="267">
        <v>2246267</v>
      </c>
      <c r="H51" s="267">
        <v>1978</v>
      </c>
      <c r="I51" s="267">
        <v>45490</v>
      </c>
      <c r="J51" s="267">
        <v>2200776</v>
      </c>
    </row>
    <row r="52" spans="1:10" ht="14.1" customHeight="1" x14ac:dyDescent="0.2">
      <c r="A52" s="278"/>
      <c r="B52" s="278"/>
      <c r="C52" s="278"/>
      <c r="D52" s="261" t="s">
        <v>92</v>
      </c>
      <c r="E52" s="267">
        <v>619</v>
      </c>
      <c r="F52" s="267">
        <v>31120</v>
      </c>
      <c r="G52" s="267">
        <v>19263542</v>
      </c>
      <c r="H52" s="267">
        <v>1978</v>
      </c>
      <c r="I52" s="267">
        <v>1224284</v>
      </c>
      <c r="J52" s="267">
        <v>18039258</v>
      </c>
    </row>
    <row r="53" spans="1:10" ht="14.1" customHeight="1" x14ac:dyDescent="0.2">
      <c r="A53" s="278"/>
      <c r="B53" s="278"/>
      <c r="C53" s="278"/>
      <c r="D53" s="261" t="s">
        <v>86</v>
      </c>
      <c r="E53" s="267">
        <v>3024</v>
      </c>
      <c r="F53" s="267">
        <v>18898</v>
      </c>
      <c r="G53" s="267">
        <v>57147191</v>
      </c>
      <c r="H53" s="267">
        <v>1978</v>
      </c>
      <c r="I53" s="267">
        <v>5980994</v>
      </c>
      <c r="J53" s="267">
        <v>51166197</v>
      </c>
    </row>
    <row r="54" spans="1:10" ht="14.1" customHeight="1" x14ac:dyDescent="0.2">
      <c r="A54" s="278"/>
      <c r="B54" s="278"/>
      <c r="C54" s="278"/>
      <c r="D54" s="261" t="s">
        <v>87</v>
      </c>
      <c r="E54" s="267">
        <v>6798</v>
      </c>
      <c r="F54" s="267">
        <v>12107</v>
      </c>
      <c r="G54" s="267">
        <v>82302954</v>
      </c>
      <c r="H54" s="267">
        <v>1978</v>
      </c>
      <c r="I54" s="267">
        <v>13445370</v>
      </c>
      <c r="J54" s="267">
        <v>68857584</v>
      </c>
    </row>
    <row r="55" spans="1:10" ht="14.1" customHeight="1" x14ac:dyDescent="0.2">
      <c r="A55" s="278"/>
      <c r="B55" s="278"/>
      <c r="C55" s="278"/>
      <c r="D55" s="261" t="s">
        <v>84</v>
      </c>
      <c r="E55" s="267">
        <v>10792</v>
      </c>
      <c r="F55" s="267">
        <v>8486</v>
      </c>
      <c r="G55" s="267">
        <v>91576046</v>
      </c>
      <c r="H55" s="267">
        <v>1978</v>
      </c>
      <c r="I55" s="267">
        <v>21344871</v>
      </c>
      <c r="J55" s="267">
        <v>70231175</v>
      </c>
    </row>
    <row r="56" spans="1:10" ht="14.1" customHeight="1" x14ac:dyDescent="0.2">
      <c r="A56" s="278"/>
      <c r="B56" s="278"/>
      <c r="C56" s="278"/>
      <c r="D56" s="261" t="s">
        <v>85</v>
      </c>
      <c r="E56" s="267">
        <v>170</v>
      </c>
      <c r="F56" s="267">
        <v>5771</v>
      </c>
      <c r="G56" s="267">
        <v>981021</v>
      </c>
      <c r="H56" s="267">
        <v>1978</v>
      </c>
      <c r="I56" s="267">
        <v>336233</v>
      </c>
      <c r="J56" s="267">
        <v>644788</v>
      </c>
    </row>
    <row r="57" spans="1:10" ht="14.1" customHeight="1" x14ac:dyDescent="0.2">
      <c r="A57" s="278"/>
      <c r="B57" s="278"/>
      <c r="C57" s="278"/>
      <c r="D57" s="261" t="s">
        <v>96</v>
      </c>
      <c r="E57" s="267">
        <v>4</v>
      </c>
      <c r="F57" s="267">
        <v>3507</v>
      </c>
      <c r="G57" s="267">
        <v>14027</v>
      </c>
      <c r="H57" s="267">
        <v>1978</v>
      </c>
      <c r="I57" s="267">
        <v>7911</v>
      </c>
      <c r="J57" s="267">
        <v>6116</v>
      </c>
    </row>
    <row r="58" spans="1:10" ht="14.1" customHeight="1" x14ac:dyDescent="0.2">
      <c r="A58" s="278"/>
      <c r="B58" s="278"/>
      <c r="C58" s="278"/>
      <c r="D58" s="261" t="s">
        <v>88</v>
      </c>
      <c r="E58" s="267">
        <v>554</v>
      </c>
      <c r="F58" s="267">
        <v>2149</v>
      </c>
      <c r="G58" s="267">
        <v>1190726</v>
      </c>
      <c r="H58" s="267">
        <v>1978</v>
      </c>
      <c r="I58" s="267">
        <v>1095724</v>
      </c>
      <c r="J58" s="267">
        <v>95002</v>
      </c>
    </row>
    <row r="59" spans="1:10" ht="42.95" customHeight="1" x14ac:dyDescent="0.2">
      <c r="A59" s="277" t="s">
        <v>257</v>
      </c>
      <c r="B59" s="278" t="s">
        <v>60</v>
      </c>
      <c r="C59" s="278"/>
      <c r="D59" s="278"/>
      <c r="E59" s="267">
        <v>9355</v>
      </c>
      <c r="F59" s="267"/>
      <c r="G59" s="267">
        <v>145284277</v>
      </c>
      <c r="H59" s="267"/>
      <c r="I59" s="267">
        <v>8030216</v>
      </c>
      <c r="J59" s="267">
        <v>137254060</v>
      </c>
    </row>
    <row r="60" spans="1:10" ht="14.1" customHeight="1" x14ac:dyDescent="0.2">
      <c r="A60" s="278"/>
      <c r="B60" s="261" t="s">
        <v>71</v>
      </c>
      <c r="C60" s="261" t="s">
        <v>72</v>
      </c>
      <c r="D60" s="261" t="s">
        <v>73</v>
      </c>
      <c r="E60" s="284">
        <v>2</v>
      </c>
      <c r="F60" s="284">
        <v>11382</v>
      </c>
      <c r="G60" s="284">
        <v>22765</v>
      </c>
      <c r="H60" s="284">
        <v>0</v>
      </c>
      <c r="I60" s="284">
        <v>0</v>
      </c>
      <c r="J60" s="284">
        <v>22765</v>
      </c>
    </row>
    <row r="61" spans="1:10" ht="14.1" customHeight="1" x14ac:dyDescent="0.2">
      <c r="A61" s="278"/>
      <c r="B61" s="279" t="s">
        <v>74</v>
      </c>
      <c r="C61" s="262" t="s">
        <v>75</v>
      </c>
      <c r="D61" s="261" t="s">
        <v>77</v>
      </c>
      <c r="E61" s="285"/>
      <c r="F61" s="285"/>
      <c r="G61" s="285"/>
      <c r="H61" s="285"/>
      <c r="I61" s="285"/>
      <c r="J61" s="285"/>
    </row>
    <row r="62" spans="1:10" ht="42.95" customHeight="1" x14ac:dyDescent="0.2">
      <c r="A62" s="278"/>
      <c r="B62" s="278"/>
      <c r="C62" s="263" t="s">
        <v>243</v>
      </c>
      <c r="D62" s="261" t="s">
        <v>79</v>
      </c>
      <c r="E62" s="267">
        <v>20</v>
      </c>
      <c r="F62" s="267">
        <v>12852</v>
      </c>
      <c r="G62" s="267">
        <v>257033</v>
      </c>
      <c r="H62" s="267">
        <v>2657</v>
      </c>
      <c r="I62" s="267">
        <v>53141</v>
      </c>
      <c r="J62" s="267">
        <v>203892</v>
      </c>
    </row>
    <row r="63" spans="1:10" ht="42.95" customHeight="1" x14ac:dyDescent="0.2">
      <c r="A63" s="278"/>
      <c r="B63" s="278"/>
      <c r="C63" s="263" t="s">
        <v>245</v>
      </c>
      <c r="D63" s="261" t="s">
        <v>79</v>
      </c>
      <c r="E63" s="267">
        <v>1260</v>
      </c>
      <c r="F63" s="267">
        <v>12172</v>
      </c>
      <c r="G63" s="267">
        <v>15337283</v>
      </c>
      <c r="H63" s="267">
        <v>1978</v>
      </c>
      <c r="I63" s="267">
        <v>2492081</v>
      </c>
      <c r="J63" s="267">
        <v>12845202</v>
      </c>
    </row>
    <row r="64" spans="1:10" ht="14.1" customHeight="1" x14ac:dyDescent="0.2">
      <c r="A64" s="278"/>
      <c r="B64" s="265" t="s">
        <v>80</v>
      </c>
      <c r="C64" s="262" t="s">
        <v>75</v>
      </c>
      <c r="D64" s="261" t="s">
        <v>82</v>
      </c>
      <c r="E64" s="267">
        <v>1</v>
      </c>
      <c r="F64" s="267">
        <v>19789</v>
      </c>
      <c r="G64" s="267">
        <v>19789</v>
      </c>
      <c r="H64" s="267">
        <v>3812</v>
      </c>
      <c r="I64" s="267">
        <v>3812</v>
      </c>
      <c r="J64" s="267">
        <v>15978</v>
      </c>
    </row>
    <row r="65" spans="1:10" ht="42.95" customHeight="1" x14ac:dyDescent="0.2">
      <c r="A65" s="278"/>
      <c r="B65" s="277" t="s">
        <v>246</v>
      </c>
      <c r="C65" s="280" t="s">
        <v>75</v>
      </c>
      <c r="D65" s="261" t="s">
        <v>91</v>
      </c>
      <c r="E65" s="267">
        <v>5</v>
      </c>
      <c r="F65" s="267">
        <v>18108</v>
      </c>
      <c r="G65" s="267">
        <v>90539</v>
      </c>
      <c r="H65" s="267">
        <v>0</v>
      </c>
      <c r="I65" s="267">
        <v>0</v>
      </c>
      <c r="J65" s="267">
        <v>90539</v>
      </c>
    </row>
    <row r="66" spans="1:10" ht="14.1" customHeight="1" x14ac:dyDescent="0.2">
      <c r="A66" s="278"/>
      <c r="B66" s="278"/>
      <c r="C66" s="278"/>
      <c r="D66" s="261" t="s">
        <v>90</v>
      </c>
      <c r="E66" s="267">
        <v>1</v>
      </c>
      <c r="F66" s="267">
        <v>7696</v>
      </c>
      <c r="G66" s="267">
        <v>7696</v>
      </c>
      <c r="H66" s="267">
        <v>0</v>
      </c>
      <c r="I66" s="267">
        <v>0</v>
      </c>
      <c r="J66" s="267">
        <v>7696</v>
      </c>
    </row>
    <row r="67" spans="1:10" ht="14.1" customHeight="1" x14ac:dyDescent="0.2">
      <c r="A67" s="278"/>
      <c r="B67" s="278"/>
      <c r="C67" s="278"/>
      <c r="D67" s="261" t="s">
        <v>76</v>
      </c>
      <c r="E67" s="267">
        <v>1</v>
      </c>
      <c r="F67" s="267">
        <v>36385</v>
      </c>
      <c r="G67" s="267">
        <v>36385</v>
      </c>
      <c r="H67" s="267">
        <v>0</v>
      </c>
      <c r="I67" s="267">
        <v>0</v>
      </c>
      <c r="J67" s="267">
        <v>36385</v>
      </c>
    </row>
    <row r="68" spans="1:10" ht="14.1" customHeight="1" x14ac:dyDescent="0.2">
      <c r="A68" s="278"/>
      <c r="B68" s="278"/>
      <c r="C68" s="278"/>
      <c r="D68" s="261" t="s">
        <v>155</v>
      </c>
      <c r="E68" s="267">
        <v>1154</v>
      </c>
      <c r="F68" s="267">
        <v>4362</v>
      </c>
      <c r="G68" s="267">
        <v>5034019</v>
      </c>
      <c r="H68" s="267">
        <v>0</v>
      </c>
      <c r="I68" s="267">
        <v>0</v>
      </c>
      <c r="J68" s="267">
        <v>5034019</v>
      </c>
    </row>
    <row r="69" spans="1:10" ht="14.1" customHeight="1" x14ac:dyDescent="0.2">
      <c r="A69" s="278"/>
      <c r="B69" s="278"/>
      <c r="C69" s="278"/>
      <c r="D69" s="261" t="s">
        <v>151</v>
      </c>
      <c r="E69" s="267">
        <v>4</v>
      </c>
      <c r="F69" s="267">
        <v>5752</v>
      </c>
      <c r="G69" s="267">
        <v>23010</v>
      </c>
      <c r="H69" s="267">
        <v>0</v>
      </c>
      <c r="I69" s="267">
        <v>0</v>
      </c>
      <c r="J69" s="267">
        <v>23010</v>
      </c>
    </row>
    <row r="70" spans="1:10" ht="42.95" customHeight="1" x14ac:dyDescent="0.2">
      <c r="A70" s="278"/>
      <c r="B70" s="278"/>
      <c r="C70" s="277" t="s">
        <v>243</v>
      </c>
      <c r="D70" s="261" t="s">
        <v>92</v>
      </c>
      <c r="E70" s="267">
        <v>1</v>
      </c>
      <c r="F70" s="267">
        <v>31800</v>
      </c>
      <c r="G70" s="267">
        <v>31800</v>
      </c>
      <c r="H70" s="267">
        <v>1469</v>
      </c>
      <c r="I70" s="267">
        <v>1469</v>
      </c>
      <c r="J70" s="267">
        <v>30330</v>
      </c>
    </row>
    <row r="71" spans="1:10" ht="14.1" customHeight="1" x14ac:dyDescent="0.2">
      <c r="A71" s="278"/>
      <c r="B71" s="278"/>
      <c r="C71" s="278"/>
      <c r="D71" s="261" t="s">
        <v>86</v>
      </c>
      <c r="E71" s="267">
        <v>7</v>
      </c>
      <c r="F71" s="267">
        <v>19577</v>
      </c>
      <c r="G71" s="267">
        <v>137039</v>
      </c>
      <c r="H71" s="267">
        <v>1469</v>
      </c>
      <c r="I71" s="267">
        <v>10284</v>
      </c>
      <c r="J71" s="267">
        <v>126755</v>
      </c>
    </row>
    <row r="72" spans="1:10" ht="14.1" customHeight="1" x14ac:dyDescent="0.2">
      <c r="A72" s="278"/>
      <c r="B72" s="278"/>
      <c r="C72" s="278"/>
      <c r="D72" s="261" t="s">
        <v>84</v>
      </c>
      <c r="E72" s="267">
        <v>3</v>
      </c>
      <c r="F72" s="267">
        <v>9165</v>
      </c>
      <c r="G72" s="267">
        <v>27494</v>
      </c>
      <c r="H72" s="267">
        <v>1469</v>
      </c>
      <c r="I72" s="267">
        <v>4408</v>
      </c>
      <c r="J72" s="267">
        <v>23087</v>
      </c>
    </row>
    <row r="73" spans="1:10" ht="14.1" customHeight="1" x14ac:dyDescent="0.2">
      <c r="A73" s="278"/>
      <c r="B73" s="278"/>
      <c r="C73" s="278"/>
      <c r="D73" s="261" t="s">
        <v>96</v>
      </c>
      <c r="E73" s="267">
        <v>1</v>
      </c>
      <c r="F73" s="267">
        <v>4186</v>
      </c>
      <c r="G73" s="267">
        <v>4186</v>
      </c>
      <c r="H73" s="267">
        <v>1469</v>
      </c>
      <c r="I73" s="267">
        <v>1469</v>
      </c>
      <c r="J73" s="267">
        <v>2717</v>
      </c>
    </row>
    <row r="74" spans="1:10" ht="14.1" customHeight="1" x14ac:dyDescent="0.2">
      <c r="A74" s="278"/>
      <c r="B74" s="278"/>
      <c r="C74" s="278"/>
      <c r="D74" s="261" t="s">
        <v>78</v>
      </c>
      <c r="E74" s="267">
        <v>2</v>
      </c>
      <c r="F74" s="267">
        <v>37855</v>
      </c>
      <c r="G74" s="267">
        <v>75709</v>
      </c>
      <c r="H74" s="267">
        <v>1469</v>
      </c>
      <c r="I74" s="267">
        <v>2938</v>
      </c>
      <c r="J74" s="267">
        <v>72771</v>
      </c>
    </row>
    <row r="75" spans="1:10" ht="14.1" customHeight="1" x14ac:dyDescent="0.2">
      <c r="A75" s="278"/>
      <c r="B75" s="278"/>
      <c r="C75" s="278"/>
      <c r="D75" s="261" t="s">
        <v>153</v>
      </c>
      <c r="E75" s="267">
        <v>12</v>
      </c>
      <c r="F75" s="267">
        <v>5831</v>
      </c>
      <c r="G75" s="267">
        <v>69977</v>
      </c>
      <c r="H75" s="267">
        <v>1469</v>
      </c>
      <c r="I75" s="267">
        <v>17630</v>
      </c>
      <c r="J75" s="267">
        <v>52347</v>
      </c>
    </row>
    <row r="76" spans="1:10" ht="42.95" customHeight="1" x14ac:dyDescent="0.2">
      <c r="A76" s="278"/>
      <c r="B76" s="278"/>
      <c r="C76" s="277" t="s">
        <v>245</v>
      </c>
      <c r="D76" s="261" t="s">
        <v>83</v>
      </c>
      <c r="E76" s="267">
        <v>1</v>
      </c>
      <c r="F76" s="267">
        <v>2773</v>
      </c>
      <c r="G76" s="267">
        <v>2773</v>
      </c>
      <c r="H76" s="267">
        <v>790</v>
      </c>
      <c r="I76" s="267">
        <v>790</v>
      </c>
      <c r="J76" s="267">
        <v>1983</v>
      </c>
    </row>
    <row r="77" spans="1:10" ht="14.1" customHeight="1" x14ac:dyDescent="0.2">
      <c r="A77" s="278"/>
      <c r="B77" s="278"/>
      <c r="C77" s="278"/>
      <c r="D77" s="261" t="s">
        <v>102</v>
      </c>
      <c r="E77" s="267">
        <v>1</v>
      </c>
      <c r="F77" s="267">
        <v>97664</v>
      </c>
      <c r="G77" s="267">
        <v>97664</v>
      </c>
      <c r="H77" s="267">
        <v>790</v>
      </c>
      <c r="I77" s="267">
        <v>790</v>
      </c>
      <c r="J77" s="267">
        <v>96874</v>
      </c>
    </row>
    <row r="78" spans="1:10" ht="14.1" customHeight="1" x14ac:dyDescent="0.2">
      <c r="A78" s="278"/>
      <c r="B78" s="278"/>
      <c r="C78" s="278"/>
      <c r="D78" s="261" t="s">
        <v>118</v>
      </c>
      <c r="E78" s="267">
        <v>43</v>
      </c>
      <c r="F78" s="267">
        <v>51490</v>
      </c>
      <c r="G78" s="267">
        <v>2214086</v>
      </c>
      <c r="H78" s="267">
        <v>790</v>
      </c>
      <c r="I78" s="267">
        <v>33969</v>
      </c>
      <c r="J78" s="267">
        <v>2180117</v>
      </c>
    </row>
    <row r="79" spans="1:10" ht="14.1" customHeight="1" x14ac:dyDescent="0.2">
      <c r="A79" s="278"/>
      <c r="B79" s="278"/>
      <c r="C79" s="278"/>
      <c r="D79" s="261" t="s">
        <v>92</v>
      </c>
      <c r="E79" s="267">
        <v>1235</v>
      </c>
      <c r="F79" s="267">
        <v>31120</v>
      </c>
      <c r="G79" s="267">
        <v>38433724</v>
      </c>
      <c r="H79" s="267">
        <v>790</v>
      </c>
      <c r="I79" s="267">
        <v>975626</v>
      </c>
      <c r="J79" s="267">
        <v>37458097</v>
      </c>
    </row>
    <row r="80" spans="1:10" ht="14.1" customHeight="1" x14ac:dyDescent="0.2">
      <c r="A80" s="278"/>
      <c r="B80" s="278"/>
      <c r="C80" s="278"/>
      <c r="D80" s="261" t="s">
        <v>86</v>
      </c>
      <c r="E80" s="267">
        <v>2782</v>
      </c>
      <c r="F80" s="267">
        <v>18898</v>
      </c>
      <c r="G80" s="267">
        <v>52573904</v>
      </c>
      <c r="H80" s="267">
        <v>790</v>
      </c>
      <c r="I80" s="267">
        <v>2197726</v>
      </c>
      <c r="J80" s="267">
        <v>50376177</v>
      </c>
    </row>
    <row r="81" spans="1:10" ht="14.1" customHeight="1" x14ac:dyDescent="0.2">
      <c r="A81" s="278"/>
      <c r="B81" s="278"/>
      <c r="C81" s="278"/>
      <c r="D81" s="261" t="s">
        <v>87</v>
      </c>
      <c r="E81" s="267">
        <v>136</v>
      </c>
      <c r="F81" s="267">
        <v>12107</v>
      </c>
      <c r="G81" s="267">
        <v>1646543</v>
      </c>
      <c r="H81" s="267">
        <v>790</v>
      </c>
      <c r="I81" s="267">
        <v>107437</v>
      </c>
      <c r="J81" s="267">
        <v>1539106</v>
      </c>
    </row>
    <row r="82" spans="1:10" ht="14.1" customHeight="1" x14ac:dyDescent="0.2">
      <c r="A82" s="278"/>
      <c r="B82" s="278"/>
      <c r="C82" s="278"/>
      <c r="D82" s="261" t="s">
        <v>84</v>
      </c>
      <c r="E82" s="267">
        <v>694</v>
      </c>
      <c r="F82" s="267">
        <v>8486</v>
      </c>
      <c r="G82" s="267">
        <v>5888971</v>
      </c>
      <c r="H82" s="267">
        <v>790</v>
      </c>
      <c r="I82" s="267">
        <v>548247</v>
      </c>
      <c r="J82" s="267">
        <v>5340724</v>
      </c>
    </row>
    <row r="83" spans="1:10" ht="14.1" customHeight="1" x14ac:dyDescent="0.2">
      <c r="A83" s="278"/>
      <c r="B83" s="278"/>
      <c r="C83" s="278"/>
      <c r="D83" s="261" t="s">
        <v>96</v>
      </c>
      <c r="E83" s="267">
        <v>36</v>
      </c>
      <c r="F83" s="267">
        <v>3507</v>
      </c>
      <c r="G83" s="267">
        <v>126243</v>
      </c>
      <c r="H83" s="267">
        <v>790</v>
      </c>
      <c r="I83" s="267">
        <v>28439</v>
      </c>
      <c r="J83" s="267">
        <v>97803</v>
      </c>
    </row>
    <row r="84" spans="1:10" ht="14.1" customHeight="1" x14ac:dyDescent="0.2">
      <c r="A84" s="278"/>
      <c r="B84" s="278"/>
      <c r="C84" s="278"/>
      <c r="D84" s="261" t="s">
        <v>78</v>
      </c>
      <c r="E84" s="267">
        <v>401</v>
      </c>
      <c r="F84" s="267">
        <v>37175</v>
      </c>
      <c r="G84" s="267">
        <v>14907310</v>
      </c>
      <c r="H84" s="267">
        <v>790</v>
      </c>
      <c r="I84" s="267">
        <v>316782</v>
      </c>
      <c r="J84" s="267">
        <v>14590528</v>
      </c>
    </row>
    <row r="85" spans="1:10" ht="14.1" customHeight="1" x14ac:dyDescent="0.2">
      <c r="A85" s="278"/>
      <c r="B85" s="278"/>
      <c r="C85" s="278"/>
      <c r="D85" s="261" t="s">
        <v>153</v>
      </c>
      <c r="E85" s="267">
        <v>1399</v>
      </c>
      <c r="F85" s="267">
        <v>5152</v>
      </c>
      <c r="G85" s="267">
        <v>7207950</v>
      </c>
      <c r="H85" s="267">
        <v>790</v>
      </c>
      <c r="I85" s="267">
        <v>1105183</v>
      </c>
      <c r="J85" s="267">
        <v>6102767</v>
      </c>
    </row>
    <row r="86" spans="1:10" ht="14.1" customHeight="1" x14ac:dyDescent="0.2">
      <c r="A86" s="278"/>
      <c r="B86" s="278"/>
      <c r="C86" s="278"/>
      <c r="D86" s="261" t="s">
        <v>154</v>
      </c>
      <c r="E86" s="267">
        <v>147</v>
      </c>
      <c r="F86" s="267">
        <v>6542</v>
      </c>
      <c r="G86" s="267">
        <v>961731</v>
      </c>
      <c r="H86" s="267">
        <v>790</v>
      </c>
      <c r="I86" s="267">
        <v>116127</v>
      </c>
      <c r="J86" s="267">
        <v>845604</v>
      </c>
    </row>
    <row r="87" spans="1:10" ht="42.95" customHeight="1" x14ac:dyDescent="0.2">
      <c r="A87" s="278"/>
      <c r="B87" s="277" t="s">
        <v>247</v>
      </c>
      <c r="C87" s="277" t="s">
        <v>245</v>
      </c>
      <c r="D87" s="261" t="s">
        <v>92</v>
      </c>
      <c r="E87" s="267">
        <v>1</v>
      </c>
      <c r="F87" s="267">
        <v>31120</v>
      </c>
      <c r="G87" s="267">
        <v>31120</v>
      </c>
      <c r="H87" s="267">
        <v>1978</v>
      </c>
      <c r="I87" s="267">
        <v>1978</v>
      </c>
      <c r="J87" s="267">
        <v>29143</v>
      </c>
    </row>
    <row r="88" spans="1:10" ht="14.1" customHeight="1" x14ac:dyDescent="0.2">
      <c r="A88" s="278"/>
      <c r="B88" s="278"/>
      <c r="C88" s="278"/>
      <c r="D88" s="261" t="s">
        <v>96</v>
      </c>
      <c r="E88" s="267">
        <v>5</v>
      </c>
      <c r="F88" s="267">
        <v>3507</v>
      </c>
      <c r="G88" s="267">
        <v>17534</v>
      </c>
      <c r="H88" s="267">
        <v>1978</v>
      </c>
      <c r="I88" s="267">
        <v>9889</v>
      </c>
      <c r="J88" s="267">
        <v>7645</v>
      </c>
    </row>
    <row r="89" spans="1:10" ht="29.1" customHeight="1" x14ac:dyDescent="0.2">
      <c r="A89" s="277" t="s">
        <v>258</v>
      </c>
      <c r="B89" s="278" t="s">
        <v>60</v>
      </c>
      <c r="C89" s="278"/>
      <c r="D89" s="278"/>
      <c r="E89" s="267">
        <v>6343</v>
      </c>
      <c r="F89" s="267"/>
      <c r="G89" s="267">
        <v>49483971</v>
      </c>
      <c r="H89" s="267"/>
      <c r="I89" s="267">
        <v>5242333</v>
      </c>
      <c r="J89" s="267">
        <v>44241638</v>
      </c>
    </row>
    <row r="90" spans="1:10" ht="14.1" customHeight="1" x14ac:dyDescent="0.2">
      <c r="A90" s="278"/>
      <c r="B90" s="261" t="s">
        <v>71</v>
      </c>
      <c r="C90" s="261" t="s">
        <v>72</v>
      </c>
      <c r="D90" s="261" t="s">
        <v>73</v>
      </c>
      <c r="E90" s="284">
        <v>144</v>
      </c>
      <c r="F90" s="284">
        <v>12172</v>
      </c>
      <c r="G90" s="284">
        <v>1752832</v>
      </c>
      <c r="H90" s="284">
        <v>1978</v>
      </c>
      <c r="I90" s="284">
        <v>284809</v>
      </c>
      <c r="J90" s="284">
        <v>1468023</v>
      </c>
    </row>
    <row r="91" spans="1:10" ht="42.95" customHeight="1" x14ac:dyDescent="0.2">
      <c r="A91" s="278"/>
      <c r="B91" s="265" t="s">
        <v>74</v>
      </c>
      <c r="C91" s="263" t="s">
        <v>245</v>
      </c>
      <c r="D91" s="261" t="s">
        <v>79</v>
      </c>
      <c r="E91" s="285"/>
      <c r="F91" s="285"/>
      <c r="G91" s="285"/>
      <c r="H91" s="285"/>
      <c r="I91" s="285"/>
      <c r="J91" s="285"/>
    </row>
    <row r="92" spans="1:10" ht="42.95" customHeight="1" x14ac:dyDescent="0.2">
      <c r="A92" s="278"/>
      <c r="B92" s="277" t="s">
        <v>246</v>
      </c>
      <c r="C92" s="280" t="s">
        <v>75</v>
      </c>
      <c r="D92" s="261" t="s">
        <v>91</v>
      </c>
      <c r="E92" s="267">
        <v>5</v>
      </c>
      <c r="F92" s="267">
        <v>18108</v>
      </c>
      <c r="G92" s="267">
        <v>90539</v>
      </c>
      <c r="H92" s="267">
        <v>0</v>
      </c>
      <c r="I92" s="267">
        <v>0</v>
      </c>
      <c r="J92" s="267">
        <v>90539</v>
      </c>
    </row>
    <row r="93" spans="1:10" ht="14.1" customHeight="1" x14ac:dyDescent="0.2">
      <c r="A93" s="278"/>
      <c r="B93" s="278"/>
      <c r="C93" s="278"/>
      <c r="D93" s="261" t="s">
        <v>76</v>
      </c>
      <c r="E93" s="267">
        <v>3</v>
      </c>
      <c r="F93" s="267">
        <v>36385</v>
      </c>
      <c r="G93" s="267">
        <v>109156</v>
      </c>
      <c r="H93" s="267">
        <v>0</v>
      </c>
      <c r="I93" s="267">
        <v>0</v>
      </c>
      <c r="J93" s="267">
        <v>109156</v>
      </c>
    </row>
    <row r="94" spans="1:10" ht="42.95" customHeight="1" x14ac:dyDescent="0.2">
      <c r="A94" s="278"/>
      <c r="B94" s="278"/>
      <c r="C94" s="277" t="s">
        <v>243</v>
      </c>
      <c r="D94" s="261" t="s">
        <v>83</v>
      </c>
      <c r="E94" s="267">
        <v>62</v>
      </c>
      <c r="F94" s="267">
        <v>3452</v>
      </c>
      <c r="G94" s="267">
        <v>214013</v>
      </c>
      <c r="H94" s="267">
        <v>1469</v>
      </c>
      <c r="I94" s="267">
        <v>91089</v>
      </c>
      <c r="J94" s="267">
        <v>122925</v>
      </c>
    </row>
    <row r="95" spans="1:10" ht="14.1" customHeight="1" x14ac:dyDescent="0.2">
      <c r="A95" s="278"/>
      <c r="B95" s="278"/>
      <c r="C95" s="278"/>
      <c r="D95" s="261" t="s">
        <v>86</v>
      </c>
      <c r="E95" s="267">
        <v>3</v>
      </c>
      <c r="F95" s="267">
        <v>19577</v>
      </c>
      <c r="G95" s="267">
        <v>58731</v>
      </c>
      <c r="H95" s="267">
        <v>1469</v>
      </c>
      <c r="I95" s="267">
        <v>4408</v>
      </c>
      <c r="J95" s="267">
        <v>54324</v>
      </c>
    </row>
    <row r="96" spans="1:10" ht="14.1" customHeight="1" x14ac:dyDescent="0.2">
      <c r="A96" s="278"/>
      <c r="B96" s="278"/>
      <c r="C96" s="278"/>
      <c r="D96" s="261" t="s">
        <v>78</v>
      </c>
      <c r="E96" s="267">
        <v>10</v>
      </c>
      <c r="F96" s="267">
        <v>37855</v>
      </c>
      <c r="G96" s="267">
        <v>378545</v>
      </c>
      <c r="H96" s="267">
        <v>1469</v>
      </c>
      <c r="I96" s="267">
        <v>14692</v>
      </c>
      <c r="J96" s="267">
        <v>363854</v>
      </c>
    </row>
    <row r="97" spans="1:10" ht="42.95" customHeight="1" x14ac:dyDescent="0.2">
      <c r="A97" s="278"/>
      <c r="B97" s="278"/>
      <c r="C97" s="263" t="s">
        <v>244</v>
      </c>
      <c r="D97" s="261" t="s">
        <v>83</v>
      </c>
      <c r="E97" s="267">
        <v>35</v>
      </c>
      <c r="F97" s="267">
        <v>2992</v>
      </c>
      <c r="G97" s="267">
        <v>104724</v>
      </c>
      <c r="H97" s="267">
        <v>1242</v>
      </c>
      <c r="I97" s="267">
        <v>43463</v>
      </c>
      <c r="J97" s="267">
        <v>61260</v>
      </c>
    </row>
    <row r="98" spans="1:10" ht="42.95" customHeight="1" x14ac:dyDescent="0.2">
      <c r="A98" s="278"/>
      <c r="B98" s="278"/>
      <c r="C98" s="277" t="s">
        <v>245</v>
      </c>
      <c r="D98" s="261" t="s">
        <v>83</v>
      </c>
      <c r="E98" s="267">
        <v>4688</v>
      </c>
      <c r="F98" s="267">
        <v>2773</v>
      </c>
      <c r="G98" s="267">
        <v>12998135</v>
      </c>
      <c r="H98" s="267">
        <v>790</v>
      </c>
      <c r="I98" s="267">
        <v>3703430</v>
      </c>
      <c r="J98" s="267">
        <v>9294705</v>
      </c>
    </row>
    <row r="99" spans="1:10" ht="14.1" customHeight="1" x14ac:dyDescent="0.2">
      <c r="A99" s="278"/>
      <c r="B99" s="278"/>
      <c r="C99" s="278"/>
      <c r="D99" s="261" t="s">
        <v>86</v>
      </c>
      <c r="E99" s="267">
        <v>886</v>
      </c>
      <c r="F99" s="267">
        <v>18898</v>
      </c>
      <c r="G99" s="267">
        <v>16743522</v>
      </c>
      <c r="H99" s="267">
        <v>790</v>
      </c>
      <c r="I99" s="267">
        <v>699923</v>
      </c>
      <c r="J99" s="267">
        <v>16043599</v>
      </c>
    </row>
    <row r="100" spans="1:10" ht="14.1" customHeight="1" x14ac:dyDescent="0.2">
      <c r="A100" s="278"/>
      <c r="B100" s="278"/>
      <c r="C100" s="278"/>
      <c r="D100" s="261" t="s">
        <v>84</v>
      </c>
      <c r="E100" s="267">
        <v>61</v>
      </c>
      <c r="F100" s="267">
        <v>8486</v>
      </c>
      <c r="G100" s="267">
        <v>517618</v>
      </c>
      <c r="H100" s="267">
        <v>790</v>
      </c>
      <c r="I100" s="267">
        <v>48189</v>
      </c>
      <c r="J100" s="267">
        <v>469430</v>
      </c>
    </row>
    <row r="101" spans="1:10" ht="14.1" customHeight="1" x14ac:dyDescent="0.2">
      <c r="A101" s="278"/>
      <c r="B101" s="278"/>
      <c r="C101" s="278"/>
      <c r="D101" s="261" t="s">
        <v>78</v>
      </c>
      <c r="E101" s="267">
        <v>444</v>
      </c>
      <c r="F101" s="267">
        <v>37175</v>
      </c>
      <c r="G101" s="267">
        <v>16505850</v>
      </c>
      <c r="H101" s="267">
        <v>790</v>
      </c>
      <c r="I101" s="267">
        <v>350751</v>
      </c>
      <c r="J101" s="267">
        <v>16155098</v>
      </c>
    </row>
    <row r="102" spans="1:10" ht="14.1" customHeight="1" x14ac:dyDescent="0.2">
      <c r="A102" s="278"/>
      <c r="B102" s="278"/>
      <c r="C102" s="278"/>
      <c r="D102" s="261" t="s">
        <v>153</v>
      </c>
      <c r="E102" s="267">
        <v>2</v>
      </c>
      <c r="F102" s="267">
        <v>5152</v>
      </c>
      <c r="G102" s="267">
        <v>10304</v>
      </c>
      <c r="H102" s="267">
        <v>790</v>
      </c>
      <c r="I102" s="267">
        <v>1580</v>
      </c>
      <c r="J102" s="267">
        <v>8724</v>
      </c>
    </row>
    <row r="103" spans="1:10" ht="14.1" customHeight="1" x14ac:dyDescent="0.2">
      <c r="A103" s="278" t="s">
        <v>2</v>
      </c>
      <c r="B103" s="278" t="s">
        <v>60</v>
      </c>
      <c r="C103" s="278"/>
      <c r="D103" s="278"/>
      <c r="E103" s="267">
        <v>9575</v>
      </c>
      <c r="F103" s="267"/>
      <c r="G103" s="267">
        <v>156217967</v>
      </c>
      <c r="H103" s="267"/>
      <c r="I103" s="267">
        <v>9432381</v>
      </c>
      <c r="J103" s="267">
        <v>146785587</v>
      </c>
    </row>
    <row r="104" spans="1:10" ht="14.1" customHeight="1" x14ac:dyDescent="0.2">
      <c r="A104" s="278"/>
      <c r="B104" s="261" t="s">
        <v>71</v>
      </c>
      <c r="C104" s="261" t="s">
        <v>72</v>
      </c>
      <c r="D104" s="261" t="s">
        <v>73</v>
      </c>
      <c r="E104" s="284">
        <v>1</v>
      </c>
      <c r="F104" s="284">
        <v>11382</v>
      </c>
      <c r="G104" s="284">
        <v>11382</v>
      </c>
      <c r="H104" s="284">
        <v>0</v>
      </c>
      <c r="I104" s="284">
        <v>0</v>
      </c>
      <c r="J104" s="284">
        <v>11382</v>
      </c>
    </row>
    <row r="105" spans="1:10" ht="14.1" customHeight="1" x14ac:dyDescent="0.2">
      <c r="A105" s="278"/>
      <c r="B105" s="279" t="s">
        <v>74</v>
      </c>
      <c r="C105" s="262" t="s">
        <v>75</v>
      </c>
      <c r="D105" s="261" t="s">
        <v>77</v>
      </c>
      <c r="E105" s="285"/>
      <c r="F105" s="285"/>
      <c r="G105" s="285"/>
      <c r="H105" s="285"/>
      <c r="I105" s="285"/>
      <c r="J105" s="285"/>
    </row>
    <row r="106" spans="1:10" ht="42.95" customHeight="1" x14ac:dyDescent="0.2">
      <c r="A106" s="278"/>
      <c r="B106" s="278"/>
      <c r="C106" s="263" t="s">
        <v>243</v>
      </c>
      <c r="D106" s="261" t="s">
        <v>79</v>
      </c>
      <c r="E106" s="267">
        <v>4</v>
      </c>
      <c r="F106" s="267">
        <v>12852</v>
      </c>
      <c r="G106" s="267">
        <v>51407</v>
      </c>
      <c r="H106" s="267">
        <v>2657</v>
      </c>
      <c r="I106" s="267">
        <v>10628</v>
      </c>
      <c r="J106" s="267">
        <v>40778</v>
      </c>
    </row>
    <row r="107" spans="1:10" ht="42.95" customHeight="1" x14ac:dyDescent="0.2">
      <c r="A107" s="278"/>
      <c r="B107" s="278"/>
      <c r="C107" s="263" t="s">
        <v>245</v>
      </c>
      <c r="D107" s="261" t="s">
        <v>79</v>
      </c>
      <c r="E107" s="267">
        <v>1488</v>
      </c>
      <c r="F107" s="267">
        <v>12172</v>
      </c>
      <c r="G107" s="267">
        <v>18112601</v>
      </c>
      <c r="H107" s="267">
        <v>1978</v>
      </c>
      <c r="I107" s="267">
        <v>2943029</v>
      </c>
      <c r="J107" s="267">
        <v>15169572</v>
      </c>
    </row>
    <row r="108" spans="1:10" ht="42.95" customHeight="1" x14ac:dyDescent="0.2">
      <c r="A108" s="278"/>
      <c r="B108" s="277" t="s">
        <v>246</v>
      </c>
      <c r="C108" s="280" t="s">
        <v>75</v>
      </c>
      <c r="D108" s="261" t="s">
        <v>99</v>
      </c>
      <c r="E108" s="267">
        <v>5</v>
      </c>
      <c r="F108" s="267">
        <v>30330</v>
      </c>
      <c r="G108" s="267">
        <v>151652</v>
      </c>
      <c r="H108" s="267">
        <v>0</v>
      </c>
      <c r="I108" s="267">
        <v>0</v>
      </c>
      <c r="J108" s="267">
        <v>151652</v>
      </c>
    </row>
    <row r="109" spans="1:10" ht="14.1" customHeight="1" x14ac:dyDescent="0.2">
      <c r="A109" s="278"/>
      <c r="B109" s="278"/>
      <c r="C109" s="278"/>
      <c r="D109" s="261" t="s">
        <v>91</v>
      </c>
      <c r="E109" s="267">
        <v>11</v>
      </c>
      <c r="F109" s="267">
        <v>18108</v>
      </c>
      <c r="G109" s="267">
        <v>199187</v>
      </c>
      <c r="H109" s="267">
        <v>0</v>
      </c>
      <c r="I109" s="267">
        <v>0</v>
      </c>
      <c r="J109" s="267">
        <v>199187</v>
      </c>
    </row>
    <row r="110" spans="1:10" ht="14.1" customHeight="1" x14ac:dyDescent="0.2">
      <c r="A110" s="278"/>
      <c r="B110" s="278"/>
      <c r="C110" s="278"/>
      <c r="D110" s="261" t="s">
        <v>90</v>
      </c>
      <c r="E110" s="267">
        <v>35</v>
      </c>
      <c r="F110" s="267">
        <v>7696</v>
      </c>
      <c r="G110" s="267">
        <v>269345</v>
      </c>
      <c r="H110" s="267">
        <v>0</v>
      </c>
      <c r="I110" s="267">
        <v>0</v>
      </c>
      <c r="J110" s="267">
        <v>269345</v>
      </c>
    </row>
    <row r="111" spans="1:10" ht="14.1" customHeight="1" x14ac:dyDescent="0.2">
      <c r="A111" s="278"/>
      <c r="B111" s="278"/>
      <c r="C111" s="278"/>
      <c r="D111" s="261" t="s">
        <v>76</v>
      </c>
      <c r="E111" s="267">
        <v>1</v>
      </c>
      <c r="F111" s="267">
        <v>36385</v>
      </c>
      <c r="G111" s="267">
        <v>36385</v>
      </c>
      <c r="H111" s="267">
        <v>0</v>
      </c>
      <c r="I111" s="267">
        <v>0</v>
      </c>
      <c r="J111" s="267">
        <v>36385</v>
      </c>
    </row>
    <row r="112" spans="1:10" ht="14.1" customHeight="1" x14ac:dyDescent="0.2">
      <c r="A112" s="278"/>
      <c r="B112" s="278"/>
      <c r="C112" s="278"/>
      <c r="D112" s="261" t="s">
        <v>151</v>
      </c>
      <c r="E112" s="267">
        <v>3</v>
      </c>
      <c r="F112" s="267">
        <v>5752</v>
      </c>
      <c r="G112" s="267">
        <v>17257</v>
      </c>
      <c r="H112" s="267">
        <v>0</v>
      </c>
      <c r="I112" s="267">
        <v>0</v>
      </c>
      <c r="J112" s="267">
        <v>17257</v>
      </c>
    </row>
    <row r="113" spans="1:10" ht="42.95" customHeight="1" x14ac:dyDescent="0.2">
      <c r="A113" s="278"/>
      <c r="B113" s="278"/>
      <c r="C113" s="277" t="s">
        <v>243</v>
      </c>
      <c r="D113" s="261" t="s">
        <v>92</v>
      </c>
      <c r="E113" s="267">
        <v>6</v>
      </c>
      <c r="F113" s="267">
        <v>31800</v>
      </c>
      <c r="G113" s="267">
        <v>190798</v>
      </c>
      <c r="H113" s="267">
        <v>1469</v>
      </c>
      <c r="I113" s="267">
        <v>8815</v>
      </c>
      <c r="J113" s="267">
        <v>181983</v>
      </c>
    </row>
    <row r="114" spans="1:10" ht="14.1" customHeight="1" x14ac:dyDescent="0.2">
      <c r="A114" s="278"/>
      <c r="B114" s="278"/>
      <c r="C114" s="278"/>
      <c r="D114" s="261" t="s">
        <v>86</v>
      </c>
      <c r="E114" s="267">
        <v>30</v>
      </c>
      <c r="F114" s="267">
        <v>19577</v>
      </c>
      <c r="G114" s="267">
        <v>587312</v>
      </c>
      <c r="H114" s="267">
        <v>1469</v>
      </c>
      <c r="I114" s="267">
        <v>44075</v>
      </c>
      <c r="J114" s="267">
        <v>543237</v>
      </c>
    </row>
    <row r="115" spans="1:10" ht="14.1" customHeight="1" x14ac:dyDescent="0.2">
      <c r="A115" s="278"/>
      <c r="B115" s="278"/>
      <c r="C115" s="278"/>
      <c r="D115" s="261" t="s">
        <v>87</v>
      </c>
      <c r="E115" s="267">
        <v>1</v>
      </c>
      <c r="F115" s="267">
        <v>12786</v>
      </c>
      <c r="G115" s="267">
        <v>12786</v>
      </c>
      <c r="H115" s="267">
        <v>1469</v>
      </c>
      <c r="I115" s="267">
        <v>1469</v>
      </c>
      <c r="J115" s="267">
        <v>11317</v>
      </c>
    </row>
    <row r="116" spans="1:10" ht="14.1" customHeight="1" x14ac:dyDescent="0.2">
      <c r="A116" s="278"/>
      <c r="B116" s="278"/>
      <c r="C116" s="278"/>
      <c r="D116" s="261" t="s">
        <v>84</v>
      </c>
      <c r="E116" s="267">
        <v>41</v>
      </c>
      <c r="F116" s="267">
        <v>9165</v>
      </c>
      <c r="G116" s="267">
        <v>375754</v>
      </c>
      <c r="H116" s="267">
        <v>1469</v>
      </c>
      <c r="I116" s="267">
        <v>60236</v>
      </c>
      <c r="J116" s="267">
        <v>315518</v>
      </c>
    </row>
    <row r="117" spans="1:10" ht="14.1" customHeight="1" x14ac:dyDescent="0.2">
      <c r="A117" s="278"/>
      <c r="B117" s="278"/>
      <c r="C117" s="278"/>
      <c r="D117" s="261" t="s">
        <v>78</v>
      </c>
      <c r="E117" s="267">
        <v>16</v>
      </c>
      <c r="F117" s="267">
        <v>37855</v>
      </c>
      <c r="G117" s="267">
        <v>605672</v>
      </c>
      <c r="H117" s="267">
        <v>1469</v>
      </c>
      <c r="I117" s="267">
        <v>23507</v>
      </c>
      <c r="J117" s="267">
        <v>582166</v>
      </c>
    </row>
    <row r="118" spans="1:10" ht="14.1" customHeight="1" x14ac:dyDescent="0.2">
      <c r="A118" s="278"/>
      <c r="B118" s="278"/>
      <c r="C118" s="278"/>
      <c r="D118" s="261" t="s">
        <v>153</v>
      </c>
      <c r="E118" s="267">
        <v>30</v>
      </c>
      <c r="F118" s="267">
        <v>5831</v>
      </c>
      <c r="G118" s="267">
        <v>174942</v>
      </c>
      <c r="H118" s="267">
        <v>1469</v>
      </c>
      <c r="I118" s="267">
        <v>44075</v>
      </c>
      <c r="J118" s="267">
        <v>130867</v>
      </c>
    </row>
    <row r="119" spans="1:10" ht="14.1" customHeight="1" x14ac:dyDescent="0.2">
      <c r="A119" s="278"/>
      <c r="B119" s="278"/>
      <c r="C119" s="278"/>
      <c r="D119" s="261" t="s">
        <v>154</v>
      </c>
      <c r="E119" s="267">
        <v>1</v>
      </c>
      <c r="F119" s="267">
        <v>7222</v>
      </c>
      <c r="G119" s="267">
        <v>7222</v>
      </c>
      <c r="H119" s="267">
        <v>1469</v>
      </c>
      <c r="I119" s="267">
        <v>1469</v>
      </c>
      <c r="J119" s="267">
        <v>5752</v>
      </c>
    </row>
    <row r="120" spans="1:10" ht="42.95" customHeight="1" x14ac:dyDescent="0.2">
      <c r="A120" s="278"/>
      <c r="B120" s="278"/>
      <c r="C120" s="277" t="s">
        <v>244</v>
      </c>
      <c r="D120" s="261" t="s">
        <v>86</v>
      </c>
      <c r="E120" s="267">
        <v>5</v>
      </c>
      <c r="F120" s="267">
        <v>18898</v>
      </c>
      <c r="G120" s="267">
        <v>94489</v>
      </c>
      <c r="H120" s="267">
        <v>1242</v>
      </c>
      <c r="I120" s="267">
        <v>6209</v>
      </c>
      <c r="J120" s="267">
        <v>88280</v>
      </c>
    </row>
    <row r="121" spans="1:10" ht="14.1" customHeight="1" x14ac:dyDescent="0.2">
      <c r="A121" s="278"/>
      <c r="B121" s="278"/>
      <c r="C121" s="278"/>
      <c r="D121" s="261" t="s">
        <v>84</v>
      </c>
      <c r="E121" s="267">
        <v>15</v>
      </c>
      <c r="F121" s="267">
        <v>8486</v>
      </c>
      <c r="G121" s="267">
        <v>127283</v>
      </c>
      <c r="H121" s="267">
        <v>1242</v>
      </c>
      <c r="I121" s="267">
        <v>18627</v>
      </c>
      <c r="J121" s="267">
        <v>108656</v>
      </c>
    </row>
    <row r="122" spans="1:10" ht="14.1" customHeight="1" x14ac:dyDescent="0.2">
      <c r="A122" s="278"/>
      <c r="B122" s="278"/>
      <c r="C122" s="278"/>
      <c r="D122" s="261" t="s">
        <v>153</v>
      </c>
      <c r="E122" s="267">
        <v>1</v>
      </c>
      <c r="F122" s="267">
        <v>5152</v>
      </c>
      <c r="G122" s="267">
        <v>5152</v>
      </c>
      <c r="H122" s="267">
        <v>1242</v>
      </c>
      <c r="I122" s="267">
        <v>1242</v>
      </c>
      <c r="J122" s="267">
        <v>3910</v>
      </c>
    </row>
    <row r="123" spans="1:10" ht="42.95" customHeight="1" x14ac:dyDescent="0.2">
      <c r="A123" s="278"/>
      <c r="B123" s="278"/>
      <c r="C123" s="277" t="s">
        <v>245</v>
      </c>
      <c r="D123" s="261" t="s">
        <v>92</v>
      </c>
      <c r="E123" s="267">
        <v>1006</v>
      </c>
      <c r="F123" s="267">
        <v>31120</v>
      </c>
      <c r="G123" s="267">
        <v>31307146</v>
      </c>
      <c r="H123" s="267">
        <v>790</v>
      </c>
      <c r="I123" s="267">
        <v>794721</v>
      </c>
      <c r="J123" s="267">
        <v>30512426</v>
      </c>
    </row>
    <row r="124" spans="1:10" ht="14.1" customHeight="1" x14ac:dyDescent="0.2">
      <c r="A124" s="278"/>
      <c r="B124" s="278"/>
      <c r="C124" s="278"/>
      <c r="D124" s="261" t="s">
        <v>86</v>
      </c>
      <c r="E124" s="267">
        <v>3107</v>
      </c>
      <c r="F124" s="267">
        <v>18898</v>
      </c>
      <c r="G124" s="267">
        <v>58715715</v>
      </c>
      <c r="H124" s="267">
        <v>790</v>
      </c>
      <c r="I124" s="267">
        <v>2454470</v>
      </c>
      <c r="J124" s="267">
        <v>56261245</v>
      </c>
    </row>
    <row r="125" spans="1:10" ht="14.1" customHeight="1" x14ac:dyDescent="0.2">
      <c r="A125" s="278"/>
      <c r="B125" s="278"/>
      <c r="C125" s="278"/>
      <c r="D125" s="261" t="s">
        <v>87</v>
      </c>
      <c r="E125" s="267">
        <v>146</v>
      </c>
      <c r="F125" s="267">
        <v>12107</v>
      </c>
      <c r="G125" s="267">
        <v>1767613</v>
      </c>
      <c r="H125" s="267">
        <v>790</v>
      </c>
      <c r="I125" s="267">
        <v>115337</v>
      </c>
      <c r="J125" s="267">
        <v>1652276</v>
      </c>
    </row>
    <row r="126" spans="1:10" ht="14.1" customHeight="1" x14ac:dyDescent="0.2">
      <c r="A126" s="278"/>
      <c r="B126" s="278"/>
      <c r="C126" s="278"/>
      <c r="D126" s="261" t="s">
        <v>84</v>
      </c>
      <c r="E126" s="267">
        <v>2340</v>
      </c>
      <c r="F126" s="267">
        <v>8486</v>
      </c>
      <c r="G126" s="267">
        <v>19856185</v>
      </c>
      <c r="H126" s="267">
        <v>790</v>
      </c>
      <c r="I126" s="267">
        <v>1848555</v>
      </c>
      <c r="J126" s="267">
        <v>18007630</v>
      </c>
    </row>
    <row r="127" spans="1:10" ht="14.1" customHeight="1" x14ac:dyDescent="0.2">
      <c r="A127" s="278"/>
      <c r="B127" s="278"/>
      <c r="C127" s="278"/>
      <c r="D127" s="261" t="s">
        <v>78</v>
      </c>
      <c r="E127" s="267">
        <v>517</v>
      </c>
      <c r="F127" s="267">
        <v>37175</v>
      </c>
      <c r="G127" s="267">
        <v>19219649</v>
      </c>
      <c r="H127" s="267">
        <v>790</v>
      </c>
      <c r="I127" s="267">
        <v>408420</v>
      </c>
      <c r="J127" s="267">
        <v>18811229</v>
      </c>
    </row>
    <row r="128" spans="1:10" ht="14.1" customHeight="1" x14ac:dyDescent="0.2">
      <c r="A128" s="278"/>
      <c r="B128" s="278"/>
      <c r="C128" s="278"/>
      <c r="D128" s="261" t="s">
        <v>153</v>
      </c>
      <c r="E128" s="267">
        <v>618</v>
      </c>
      <c r="F128" s="267">
        <v>5152</v>
      </c>
      <c r="G128" s="267">
        <v>3184069</v>
      </c>
      <c r="H128" s="267">
        <v>790</v>
      </c>
      <c r="I128" s="267">
        <v>488208</v>
      </c>
      <c r="J128" s="267">
        <v>2695861</v>
      </c>
    </row>
    <row r="129" spans="1:10" ht="14.1" customHeight="1" x14ac:dyDescent="0.2">
      <c r="A129" s="278"/>
      <c r="B129" s="278"/>
      <c r="C129" s="278"/>
      <c r="D129" s="261" t="s">
        <v>154</v>
      </c>
      <c r="E129" s="267">
        <v>110</v>
      </c>
      <c r="F129" s="267">
        <v>6542</v>
      </c>
      <c r="G129" s="267">
        <v>719663</v>
      </c>
      <c r="H129" s="267">
        <v>790</v>
      </c>
      <c r="I129" s="267">
        <v>86898</v>
      </c>
      <c r="J129" s="267">
        <v>632765</v>
      </c>
    </row>
    <row r="130" spans="1:10" ht="29.1" customHeight="1" x14ac:dyDescent="0.2">
      <c r="A130" s="278"/>
      <c r="B130" s="277" t="s">
        <v>247</v>
      </c>
      <c r="C130" s="262" t="s">
        <v>75</v>
      </c>
      <c r="D130" s="261" t="s">
        <v>90</v>
      </c>
      <c r="E130" s="267">
        <v>1</v>
      </c>
      <c r="F130" s="267">
        <v>7696</v>
      </c>
      <c r="G130" s="267">
        <v>7696</v>
      </c>
      <c r="H130" s="267">
        <v>1188</v>
      </c>
      <c r="I130" s="267">
        <v>1188</v>
      </c>
      <c r="J130" s="267">
        <v>6508</v>
      </c>
    </row>
    <row r="131" spans="1:10" ht="42.95" customHeight="1" x14ac:dyDescent="0.2">
      <c r="A131" s="278"/>
      <c r="B131" s="278"/>
      <c r="C131" s="277" t="s">
        <v>245</v>
      </c>
      <c r="D131" s="261" t="s">
        <v>86</v>
      </c>
      <c r="E131" s="267">
        <v>10</v>
      </c>
      <c r="F131" s="267">
        <v>18898</v>
      </c>
      <c r="G131" s="267">
        <v>188979</v>
      </c>
      <c r="H131" s="267">
        <v>1978</v>
      </c>
      <c r="I131" s="267">
        <v>19778</v>
      </c>
      <c r="J131" s="267">
        <v>169200</v>
      </c>
    </row>
    <row r="132" spans="1:10" ht="14.1" customHeight="1" x14ac:dyDescent="0.2">
      <c r="A132" s="278"/>
      <c r="B132" s="278"/>
      <c r="C132" s="278"/>
      <c r="D132" s="261" t="s">
        <v>84</v>
      </c>
      <c r="E132" s="267">
        <v>26</v>
      </c>
      <c r="F132" s="267">
        <v>8486</v>
      </c>
      <c r="G132" s="267">
        <v>220624</v>
      </c>
      <c r="H132" s="267">
        <v>1978</v>
      </c>
      <c r="I132" s="267">
        <v>51424</v>
      </c>
      <c r="J132" s="267">
        <v>169200</v>
      </c>
    </row>
    <row r="133" spans="1:10" ht="14.1" customHeight="1" x14ac:dyDescent="0.2">
      <c r="A133" s="278" t="s">
        <v>3</v>
      </c>
      <c r="B133" s="278" t="s">
        <v>60</v>
      </c>
      <c r="C133" s="278"/>
      <c r="D133" s="278"/>
      <c r="E133" s="267">
        <v>29329</v>
      </c>
      <c r="F133" s="267"/>
      <c r="G133" s="267">
        <v>385285147</v>
      </c>
      <c r="H133" s="267"/>
      <c r="I133" s="267">
        <v>42567645</v>
      </c>
      <c r="J133" s="267">
        <v>342717502</v>
      </c>
    </row>
    <row r="134" spans="1:10" ht="14.1" customHeight="1" x14ac:dyDescent="0.2">
      <c r="A134" s="278"/>
      <c r="B134" s="261" t="s">
        <v>71</v>
      </c>
      <c r="C134" s="261" t="s">
        <v>72</v>
      </c>
      <c r="D134" s="261" t="s">
        <v>73</v>
      </c>
      <c r="E134" s="284">
        <v>2</v>
      </c>
      <c r="F134" s="284">
        <v>11382</v>
      </c>
      <c r="G134" s="284">
        <v>22765</v>
      </c>
      <c r="H134" s="284">
        <v>0</v>
      </c>
      <c r="I134" s="284">
        <v>0</v>
      </c>
      <c r="J134" s="284">
        <v>22765</v>
      </c>
    </row>
    <row r="135" spans="1:10" ht="14.1" customHeight="1" x14ac:dyDescent="0.2">
      <c r="A135" s="278"/>
      <c r="B135" s="279" t="s">
        <v>74</v>
      </c>
      <c r="C135" s="262" t="s">
        <v>75</v>
      </c>
      <c r="D135" s="261" t="s">
        <v>77</v>
      </c>
      <c r="E135" s="285"/>
      <c r="F135" s="285"/>
      <c r="G135" s="285"/>
      <c r="H135" s="285"/>
      <c r="I135" s="285"/>
      <c r="J135" s="285"/>
    </row>
    <row r="136" spans="1:10" ht="42.95" customHeight="1" x14ac:dyDescent="0.2">
      <c r="A136" s="278"/>
      <c r="B136" s="278"/>
      <c r="C136" s="263" t="s">
        <v>245</v>
      </c>
      <c r="D136" s="261" t="s">
        <v>79</v>
      </c>
      <c r="E136" s="267">
        <v>19</v>
      </c>
      <c r="F136" s="267">
        <v>12172</v>
      </c>
      <c r="G136" s="267">
        <v>231276</v>
      </c>
      <c r="H136" s="267">
        <v>1978</v>
      </c>
      <c r="I136" s="267">
        <v>37579</v>
      </c>
      <c r="J136" s="267">
        <v>193697</v>
      </c>
    </row>
    <row r="137" spans="1:10" ht="42.95" customHeight="1" x14ac:dyDescent="0.2">
      <c r="A137" s="278"/>
      <c r="B137" s="279" t="s">
        <v>89</v>
      </c>
      <c r="C137" s="277" t="s">
        <v>243</v>
      </c>
      <c r="D137" s="261" t="s">
        <v>94</v>
      </c>
      <c r="E137" s="267">
        <v>1</v>
      </c>
      <c r="F137" s="267">
        <v>0</v>
      </c>
      <c r="G137" s="267">
        <v>0</v>
      </c>
      <c r="H137" s="267">
        <v>0</v>
      </c>
      <c r="I137" s="267">
        <v>0</v>
      </c>
      <c r="J137" s="267">
        <v>0</v>
      </c>
    </row>
    <row r="138" spans="1:10" ht="14.1" customHeight="1" x14ac:dyDescent="0.2">
      <c r="A138" s="278"/>
      <c r="B138" s="278"/>
      <c r="C138" s="278"/>
      <c r="D138" s="261" t="s">
        <v>84</v>
      </c>
      <c r="E138" s="267">
        <v>4</v>
      </c>
      <c r="F138" s="267">
        <v>9165</v>
      </c>
      <c r="G138" s="267">
        <v>36659</v>
      </c>
      <c r="H138" s="267">
        <v>2296</v>
      </c>
      <c r="I138" s="267">
        <v>9185</v>
      </c>
      <c r="J138" s="267">
        <v>27474</v>
      </c>
    </row>
    <row r="139" spans="1:10" ht="14.1" customHeight="1" x14ac:dyDescent="0.2">
      <c r="A139" s="278"/>
      <c r="B139" s="278"/>
      <c r="C139" s="278"/>
      <c r="D139" s="261" t="s">
        <v>105</v>
      </c>
      <c r="E139" s="267">
        <v>401</v>
      </c>
      <c r="F139" s="267">
        <v>9435</v>
      </c>
      <c r="G139" s="267">
        <v>3783617</v>
      </c>
      <c r="H139" s="267">
        <v>2567</v>
      </c>
      <c r="I139" s="267">
        <v>1029335</v>
      </c>
      <c r="J139" s="267">
        <v>2754281</v>
      </c>
    </row>
    <row r="140" spans="1:10" ht="42.95" customHeight="1" x14ac:dyDescent="0.2">
      <c r="A140" s="278"/>
      <c r="B140" s="278"/>
      <c r="C140" s="277" t="s">
        <v>245</v>
      </c>
      <c r="D140" s="261" t="s">
        <v>93</v>
      </c>
      <c r="E140" s="267">
        <v>2</v>
      </c>
      <c r="F140" s="267">
        <v>13591</v>
      </c>
      <c r="G140" s="267">
        <v>27183</v>
      </c>
      <c r="H140" s="267">
        <v>6723</v>
      </c>
      <c r="I140" s="267">
        <v>13446</v>
      </c>
      <c r="J140" s="267">
        <v>13737</v>
      </c>
    </row>
    <row r="141" spans="1:10" ht="14.1" customHeight="1" x14ac:dyDescent="0.2">
      <c r="A141" s="278"/>
      <c r="B141" s="278"/>
      <c r="C141" s="278"/>
      <c r="D141" s="261" t="s">
        <v>94</v>
      </c>
      <c r="E141" s="267">
        <v>7</v>
      </c>
      <c r="F141" s="267">
        <v>0</v>
      </c>
      <c r="G141" s="267">
        <v>0</v>
      </c>
      <c r="H141" s="267">
        <v>0</v>
      </c>
      <c r="I141" s="267">
        <v>0</v>
      </c>
      <c r="J141" s="267">
        <v>0</v>
      </c>
    </row>
    <row r="142" spans="1:10" ht="14.1" customHeight="1" x14ac:dyDescent="0.2">
      <c r="A142" s="278"/>
      <c r="B142" s="278"/>
      <c r="C142" s="278"/>
      <c r="D142" s="261" t="s">
        <v>84</v>
      </c>
      <c r="E142" s="267">
        <v>16280</v>
      </c>
      <c r="F142" s="267">
        <v>8486</v>
      </c>
      <c r="G142" s="267">
        <v>138144740</v>
      </c>
      <c r="H142" s="267">
        <v>1617</v>
      </c>
      <c r="I142" s="267">
        <v>26325042</v>
      </c>
      <c r="J142" s="267">
        <v>111819698</v>
      </c>
    </row>
    <row r="143" spans="1:10" ht="14.1" customHeight="1" x14ac:dyDescent="0.2">
      <c r="A143" s="278"/>
      <c r="B143" s="278"/>
      <c r="C143" s="278"/>
      <c r="D143" s="261" t="s">
        <v>90</v>
      </c>
      <c r="E143" s="267">
        <v>57</v>
      </c>
      <c r="F143" s="267">
        <v>7696</v>
      </c>
      <c r="G143" s="267">
        <v>438647</v>
      </c>
      <c r="H143" s="267">
        <v>827</v>
      </c>
      <c r="I143" s="267">
        <v>47141</v>
      </c>
      <c r="J143" s="267">
        <v>391506</v>
      </c>
    </row>
    <row r="144" spans="1:10" ht="14.1" customHeight="1" x14ac:dyDescent="0.2">
      <c r="A144" s="278"/>
      <c r="B144" s="278"/>
      <c r="C144" s="278"/>
      <c r="D144" s="261" t="s">
        <v>105</v>
      </c>
      <c r="E144" s="267">
        <v>4708</v>
      </c>
      <c r="F144" s="267">
        <v>8756</v>
      </c>
      <c r="G144" s="267">
        <v>41224482</v>
      </c>
      <c r="H144" s="267">
        <v>1888</v>
      </c>
      <c r="I144" s="267">
        <v>8887434</v>
      </c>
      <c r="J144" s="267">
        <v>32337048</v>
      </c>
    </row>
    <row r="145" spans="1:10" ht="42.95" customHeight="1" x14ac:dyDescent="0.2">
      <c r="A145" s="278"/>
      <c r="B145" s="277" t="s">
        <v>246</v>
      </c>
      <c r="C145" s="280" t="s">
        <v>75</v>
      </c>
      <c r="D145" s="261" t="s">
        <v>99</v>
      </c>
      <c r="E145" s="267">
        <v>2</v>
      </c>
      <c r="F145" s="267">
        <v>30330</v>
      </c>
      <c r="G145" s="267">
        <v>60661</v>
      </c>
      <c r="H145" s="267">
        <v>0</v>
      </c>
      <c r="I145" s="267">
        <v>0</v>
      </c>
      <c r="J145" s="267">
        <v>60661</v>
      </c>
    </row>
    <row r="146" spans="1:10" ht="14.1" customHeight="1" x14ac:dyDescent="0.2">
      <c r="A146" s="278"/>
      <c r="B146" s="278"/>
      <c r="C146" s="278"/>
      <c r="D146" s="261" t="s">
        <v>90</v>
      </c>
      <c r="E146" s="267">
        <v>2</v>
      </c>
      <c r="F146" s="267">
        <v>7696</v>
      </c>
      <c r="G146" s="267">
        <v>15391</v>
      </c>
      <c r="H146" s="267">
        <v>0</v>
      </c>
      <c r="I146" s="267">
        <v>0</v>
      </c>
      <c r="J146" s="267">
        <v>15391</v>
      </c>
    </row>
    <row r="147" spans="1:10" ht="14.1" customHeight="1" x14ac:dyDescent="0.2">
      <c r="A147" s="278"/>
      <c r="B147" s="278"/>
      <c r="C147" s="278"/>
      <c r="D147" s="261" t="s">
        <v>76</v>
      </c>
      <c r="E147" s="267">
        <v>9</v>
      </c>
      <c r="F147" s="267">
        <v>36385</v>
      </c>
      <c r="G147" s="267">
        <v>327468</v>
      </c>
      <c r="H147" s="267">
        <v>0</v>
      </c>
      <c r="I147" s="267">
        <v>0</v>
      </c>
      <c r="J147" s="267">
        <v>327468</v>
      </c>
    </row>
    <row r="148" spans="1:10" ht="14.1" customHeight="1" x14ac:dyDescent="0.2">
      <c r="A148" s="278"/>
      <c r="B148" s="278"/>
      <c r="C148" s="278"/>
      <c r="D148" s="261" t="s">
        <v>155</v>
      </c>
      <c r="E148" s="267">
        <v>2</v>
      </c>
      <c r="F148" s="267">
        <v>4362</v>
      </c>
      <c r="G148" s="267">
        <v>8724</v>
      </c>
      <c r="H148" s="267">
        <v>0</v>
      </c>
      <c r="I148" s="267">
        <v>0</v>
      </c>
      <c r="J148" s="267">
        <v>8724</v>
      </c>
    </row>
    <row r="149" spans="1:10" ht="42.95" customHeight="1" x14ac:dyDescent="0.2">
      <c r="A149" s="278"/>
      <c r="B149" s="278"/>
      <c r="C149" s="277" t="s">
        <v>243</v>
      </c>
      <c r="D149" s="261" t="s">
        <v>84</v>
      </c>
      <c r="E149" s="267">
        <v>3</v>
      </c>
      <c r="F149" s="267">
        <v>9165</v>
      </c>
      <c r="G149" s="267">
        <v>27494</v>
      </c>
      <c r="H149" s="267">
        <v>1469</v>
      </c>
      <c r="I149" s="267">
        <v>4408</v>
      </c>
      <c r="J149" s="267">
        <v>23087</v>
      </c>
    </row>
    <row r="150" spans="1:10" ht="14.1" customHeight="1" x14ac:dyDescent="0.2">
      <c r="A150" s="278"/>
      <c r="B150" s="278"/>
      <c r="C150" s="278"/>
      <c r="D150" s="261" t="s">
        <v>78</v>
      </c>
      <c r="E150" s="267">
        <v>1</v>
      </c>
      <c r="F150" s="267">
        <v>37855</v>
      </c>
      <c r="G150" s="267">
        <v>37855</v>
      </c>
      <c r="H150" s="267">
        <v>1469</v>
      </c>
      <c r="I150" s="267">
        <v>1469</v>
      </c>
      <c r="J150" s="267">
        <v>36385</v>
      </c>
    </row>
    <row r="151" spans="1:10" ht="14.1" customHeight="1" x14ac:dyDescent="0.2">
      <c r="A151" s="278"/>
      <c r="B151" s="278"/>
      <c r="C151" s="278"/>
      <c r="D151" s="261" t="s">
        <v>153</v>
      </c>
      <c r="E151" s="267">
        <v>26</v>
      </c>
      <c r="F151" s="267">
        <v>5831</v>
      </c>
      <c r="G151" s="267">
        <v>151617</v>
      </c>
      <c r="H151" s="267">
        <v>1469</v>
      </c>
      <c r="I151" s="267">
        <v>38198</v>
      </c>
      <c r="J151" s="267">
        <v>113418</v>
      </c>
    </row>
    <row r="152" spans="1:10" ht="14.1" customHeight="1" x14ac:dyDescent="0.2">
      <c r="A152" s="278"/>
      <c r="B152" s="278"/>
      <c r="C152" s="278"/>
      <c r="D152" s="261" t="s">
        <v>154</v>
      </c>
      <c r="E152" s="267">
        <v>15</v>
      </c>
      <c r="F152" s="267">
        <v>7222</v>
      </c>
      <c r="G152" s="267">
        <v>108324</v>
      </c>
      <c r="H152" s="267">
        <v>1469</v>
      </c>
      <c r="I152" s="267">
        <v>22038</v>
      </c>
      <c r="J152" s="267">
        <v>86286</v>
      </c>
    </row>
    <row r="153" spans="1:10" ht="42.95" customHeight="1" x14ac:dyDescent="0.2">
      <c r="A153" s="278"/>
      <c r="B153" s="278"/>
      <c r="C153" s="277" t="s">
        <v>245</v>
      </c>
      <c r="D153" s="261" t="s">
        <v>92</v>
      </c>
      <c r="E153" s="267">
        <v>723</v>
      </c>
      <c r="F153" s="267">
        <v>31120</v>
      </c>
      <c r="G153" s="267">
        <v>22500066</v>
      </c>
      <c r="H153" s="267">
        <v>790</v>
      </c>
      <c r="I153" s="267">
        <v>571156</v>
      </c>
      <c r="J153" s="267">
        <v>21928910</v>
      </c>
    </row>
    <row r="154" spans="1:10" ht="14.1" customHeight="1" x14ac:dyDescent="0.2">
      <c r="A154" s="278"/>
      <c r="B154" s="278"/>
      <c r="C154" s="278"/>
      <c r="D154" s="261" t="s">
        <v>86</v>
      </c>
      <c r="E154" s="267">
        <v>1419</v>
      </c>
      <c r="F154" s="267">
        <v>18898</v>
      </c>
      <c r="G154" s="267">
        <v>26816092</v>
      </c>
      <c r="H154" s="267">
        <v>790</v>
      </c>
      <c r="I154" s="267">
        <v>1120983</v>
      </c>
      <c r="J154" s="267">
        <v>25695110</v>
      </c>
    </row>
    <row r="155" spans="1:10" ht="14.1" customHeight="1" x14ac:dyDescent="0.2">
      <c r="A155" s="278"/>
      <c r="B155" s="278"/>
      <c r="C155" s="278"/>
      <c r="D155" s="261" t="s">
        <v>87</v>
      </c>
      <c r="E155" s="267">
        <v>64</v>
      </c>
      <c r="F155" s="267">
        <v>12107</v>
      </c>
      <c r="G155" s="267">
        <v>774844</v>
      </c>
      <c r="H155" s="267">
        <v>790</v>
      </c>
      <c r="I155" s="267">
        <v>50559</v>
      </c>
      <c r="J155" s="267">
        <v>724285</v>
      </c>
    </row>
    <row r="156" spans="1:10" ht="14.1" customHeight="1" x14ac:dyDescent="0.2">
      <c r="A156" s="278"/>
      <c r="B156" s="278"/>
      <c r="C156" s="278"/>
      <c r="D156" s="261" t="s">
        <v>84</v>
      </c>
      <c r="E156" s="267">
        <v>511</v>
      </c>
      <c r="F156" s="267">
        <v>8486</v>
      </c>
      <c r="G156" s="267">
        <v>4336116</v>
      </c>
      <c r="H156" s="267">
        <v>790</v>
      </c>
      <c r="I156" s="267">
        <v>403680</v>
      </c>
      <c r="J156" s="267">
        <v>3932435</v>
      </c>
    </row>
    <row r="157" spans="1:10" ht="14.1" customHeight="1" x14ac:dyDescent="0.2">
      <c r="A157" s="278"/>
      <c r="B157" s="278"/>
      <c r="C157" s="278"/>
      <c r="D157" s="261" t="s">
        <v>96</v>
      </c>
      <c r="E157" s="267">
        <v>75</v>
      </c>
      <c r="F157" s="267">
        <v>3507</v>
      </c>
      <c r="G157" s="267">
        <v>263006</v>
      </c>
      <c r="H157" s="267">
        <v>790</v>
      </c>
      <c r="I157" s="267">
        <v>59249</v>
      </c>
      <c r="J157" s="267">
        <v>203757</v>
      </c>
    </row>
    <row r="158" spans="1:10" ht="14.1" customHeight="1" x14ac:dyDescent="0.2">
      <c r="A158" s="278"/>
      <c r="B158" s="278"/>
      <c r="C158" s="278"/>
      <c r="D158" s="261" t="s">
        <v>78</v>
      </c>
      <c r="E158" s="267">
        <v>3750</v>
      </c>
      <c r="F158" s="267">
        <v>37175</v>
      </c>
      <c r="G158" s="267">
        <v>139407514</v>
      </c>
      <c r="H158" s="267">
        <v>790</v>
      </c>
      <c r="I158" s="267">
        <v>2962428</v>
      </c>
      <c r="J158" s="267">
        <v>136445087</v>
      </c>
    </row>
    <row r="159" spans="1:10" ht="14.1" customHeight="1" x14ac:dyDescent="0.2">
      <c r="A159" s="278"/>
      <c r="B159" s="278"/>
      <c r="C159" s="278"/>
      <c r="D159" s="261" t="s">
        <v>153</v>
      </c>
      <c r="E159" s="267">
        <v>1159</v>
      </c>
      <c r="F159" s="267">
        <v>5152</v>
      </c>
      <c r="G159" s="267">
        <v>5971418</v>
      </c>
      <c r="H159" s="267">
        <v>790</v>
      </c>
      <c r="I159" s="267">
        <v>915588</v>
      </c>
      <c r="J159" s="267">
        <v>5055830</v>
      </c>
    </row>
    <row r="160" spans="1:10" ht="14.1" customHeight="1" x14ac:dyDescent="0.2">
      <c r="A160" s="278"/>
      <c r="B160" s="278"/>
      <c r="C160" s="278"/>
      <c r="D160" s="261" t="s">
        <v>154</v>
      </c>
      <c r="E160" s="267">
        <v>87</v>
      </c>
      <c r="F160" s="267">
        <v>6542</v>
      </c>
      <c r="G160" s="267">
        <v>569188</v>
      </c>
      <c r="H160" s="267">
        <v>790</v>
      </c>
      <c r="I160" s="267">
        <v>68728</v>
      </c>
      <c r="J160" s="267">
        <v>500460</v>
      </c>
    </row>
    <row r="161" spans="1:10" ht="14.1" customHeight="1" x14ac:dyDescent="0.2">
      <c r="A161" s="278" t="s">
        <v>4</v>
      </c>
      <c r="B161" s="278" t="s">
        <v>60</v>
      </c>
      <c r="C161" s="278"/>
      <c r="D161" s="278"/>
      <c r="E161" s="267">
        <v>42513</v>
      </c>
      <c r="F161" s="267"/>
      <c r="G161" s="267">
        <v>646943553</v>
      </c>
      <c r="H161" s="267"/>
      <c r="I161" s="267">
        <v>75921433</v>
      </c>
      <c r="J161" s="267">
        <v>571022120</v>
      </c>
    </row>
    <row r="162" spans="1:10" ht="14.1" customHeight="1" x14ac:dyDescent="0.2">
      <c r="A162" s="278"/>
      <c r="B162" s="261" t="s">
        <v>71</v>
      </c>
      <c r="C162" s="261" t="s">
        <v>72</v>
      </c>
      <c r="D162" s="261" t="s">
        <v>73</v>
      </c>
      <c r="E162" s="284">
        <v>3</v>
      </c>
      <c r="F162" s="284">
        <v>11382</v>
      </c>
      <c r="G162" s="284">
        <v>34147</v>
      </c>
      <c r="H162" s="284">
        <v>0</v>
      </c>
      <c r="I162" s="284">
        <v>0</v>
      </c>
      <c r="J162" s="284">
        <v>34147</v>
      </c>
    </row>
    <row r="163" spans="1:10" ht="14.1" customHeight="1" x14ac:dyDescent="0.2">
      <c r="A163" s="278"/>
      <c r="B163" s="279" t="s">
        <v>74</v>
      </c>
      <c r="C163" s="262" t="s">
        <v>75</v>
      </c>
      <c r="D163" s="261" t="s">
        <v>77</v>
      </c>
      <c r="E163" s="285"/>
      <c r="F163" s="285"/>
      <c r="G163" s="285"/>
      <c r="H163" s="285"/>
      <c r="I163" s="285"/>
      <c r="J163" s="285"/>
    </row>
    <row r="164" spans="1:10" ht="42.95" customHeight="1" x14ac:dyDescent="0.2">
      <c r="A164" s="278"/>
      <c r="B164" s="278"/>
      <c r="C164" s="263" t="s">
        <v>245</v>
      </c>
      <c r="D164" s="261" t="s">
        <v>79</v>
      </c>
      <c r="E164" s="267">
        <v>2075</v>
      </c>
      <c r="F164" s="267">
        <v>12176</v>
      </c>
      <c r="G164" s="267">
        <v>25265299</v>
      </c>
      <c r="H164" s="267">
        <v>1978</v>
      </c>
      <c r="I164" s="267">
        <v>4104022</v>
      </c>
      <c r="J164" s="267">
        <v>21161276</v>
      </c>
    </row>
    <row r="165" spans="1:10" ht="14.1" customHeight="1" x14ac:dyDescent="0.2">
      <c r="A165" s="278"/>
      <c r="B165" s="279" t="s">
        <v>80</v>
      </c>
      <c r="C165" s="280" t="s">
        <v>75</v>
      </c>
      <c r="D165" s="261" t="s">
        <v>81</v>
      </c>
      <c r="E165" s="267">
        <v>54</v>
      </c>
      <c r="F165" s="267">
        <v>22977</v>
      </c>
      <c r="G165" s="267">
        <v>1240741</v>
      </c>
      <c r="H165" s="267">
        <v>3812</v>
      </c>
      <c r="I165" s="267">
        <v>205825</v>
      </c>
      <c r="J165" s="267">
        <v>1034916</v>
      </c>
    </row>
    <row r="166" spans="1:10" ht="14.1" customHeight="1" x14ac:dyDescent="0.2">
      <c r="A166" s="278"/>
      <c r="B166" s="278"/>
      <c r="C166" s="278"/>
      <c r="D166" s="261" t="s">
        <v>82</v>
      </c>
      <c r="E166" s="267">
        <v>896</v>
      </c>
      <c r="F166" s="267">
        <v>19789</v>
      </c>
      <c r="G166" s="267">
        <v>17731104</v>
      </c>
      <c r="H166" s="267">
        <v>3812</v>
      </c>
      <c r="I166" s="267">
        <v>3415164</v>
      </c>
      <c r="J166" s="267">
        <v>14315940</v>
      </c>
    </row>
    <row r="167" spans="1:10" ht="42.95" customHeight="1" x14ac:dyDescent="0.2">
      <c r="A167" s="278"/>
      <c r="B167" s="277" t="s">
        <v>246</v>
      </c>
      <c r="C167" s="280" t="s">
        <v>75</v>
      </c>
      <c r="D167" s="261" t="s">
        <v>91</v>
      </c>
      <c r="E167" s="267">
        <v>1</v>
      </c>
      <c r="F167" s="267">
        <v>18108</v>
      </c>
      <c r="G167" s="267">
        <v>18108</v>
      </c>
      <c r="H167" s="267">
        <v>0</v>
      </c>
      <c r="I167" s="267">
        <v>0</v>
      </c>
      <c r="J167" s="267">
        <v>18108</v>
      </c>
    </row>
    <row r="168" spans="1:10" ht="14.1" customHeight="1" x14ac:dyDescent="0.2">
      <c r="A168" s="278"/>
      <c r="B168" s="278"/>
      <c r="C168" s="278"/>
      <c r="D168" s="261" t="s">
        <v>97</v>
      </c>
      <c r="E168" s="267">
        <v>4</v>
      </c>
      <c r="F168" s="267">
        <v>11317</v>
      </c>
      <c r="G168" s="267">
        <v>45268</v>
      </c>
      <c r="H168" s="267">
        <v>0</v>
      </c>
      <c r="I168" s="267">
        <v>0</v>
      </c>
      <c r="J168" s="267">
        <v>45268</v>
      </c>
    </row>
    <row r="169" spans="1:10" ht="14.1" customHeight="1" x14ac:dyDescent="0.2">
      <c r="A169" s="278"/>
      <c r="B169" s="278"/>
      <c r="C169" s="278"/>
      <c r="D169" s="261" t="s">
        <v>76</v>
      </c>
      <c r="E169" s="267">
        <v>5</v>
      </c>
      <c r="F169" s="267">
        <v>36385</v>
      </c>
      <c r="G169" s="267">
        <v>181927</v>
      </c>
      <c r="H169" s="267">
        <v>0</v>
      </c>
      <c r="I169" s="267">
        <v>0</v>
      </c>
      <c r="J169" s="267">
        <v>181927</v>
      </c>
    </row>
    <row r="170" spans="1:10" ht="14.1" customHeight="1" x14ac:dyDescent="0.2">
      <c r="A170" s="278"/>
      <c r="B170" s="278"/>
      <c r="C170" s="278"/>
      <c r="D170" s="261" t="s">
        <v>156</v>
      </c>
      <c r="E170" s="267">
        <v>54</v>
      </c>
      <c r="F170" s="267">
        <v>27212</v>
      </c>
      <c r="G170" s="267">
        <v>1469445</v>
      </c>
      <c r="H170" s="267">
        <v>0</v>
      </c>
      <c r="I170" s="267">
        <v>0</v>
      </c>
      <c r="J170" s="267">
        <v>1469445</v>
      </c>
    </row>
    <row r="171" spans="1:10" ht="14.1" customHeight="1" x14ac:dyDescent="0.2">
      <c r="A171" s="278"/>
      <c r="B171" s="278"/>
      <c r="C171" s="278"/>
      <c r="D171" s="261" t="s">
        <v>151</v>
      </c>
      <c r="E171" s="267">
        <v>5</v>
      </c>
      <c r="F171" s="267">
        <v>5752</v>
      </c>
      <c r="G171" s="267">
        <v>28762</v>
      </c>
      <c r="H171" s="267">
        <v>0</v>
      </c>
      <c r="I171" s="267">
        <v>0</v>
      </c>
      <c r="J171" s="267">
        <v>28762</v>
      </c>
    </row>
    <row r="172" spans="1:10" ht="42.95" customHeight="1" x14ac:dyDescent="0.2">
      <c r="A172" s="278"/>
      <c r="B172" s="278"/>
      <c r="C172" s="277" t="s">
        <v>243</v>
      </c>
      <c r="D172" s="261" t="s">
        <v>83</v>
      </c>
      <c r="E172" s="267">
        <v>7</v>
      </c>
      <c r="F172" s="267">
        <v>3452</v>
      </c>
      <c r="G172" s="267">
        <v>24163</v>
      </c>
      <c r="H172" s="267">
        <v>1469</v>
      </c>
      <c r="I172" s="267">
        <v>10284</v>
      </c>
      <c r="J172" s="267">
        <v>13879</v>
      </c>
    </row>
    <row r="173" spans="1:10" ht="14.1" customHeight="1" x14ac:dyDescent="0.2">
      <c r="A173" s="278"/>
      <c r="B173" s="278"/>
      <c r="C173" s="278"/>
      <c r="D173" s="261" t="s">
        <v>86</v>
      </c>
      <c r="E173" s="267">
        <v>1</v>
      </c>
      <c r="F173" s="267">
        <v>19577</v>
      </c>
      <c r="G173" s="267">
        <v>19577</v>
      </c>
      <c r="H173" s="267">
        <v>1469</v>
      </c>
      <c r="I173" s="267">
        <v>1469</v>
      </c>
      <c r="J173" s="267">
        <v>18108</v>
      </c>
    </row>
    <row r="174" spans="1:10" ht="14.1" customHeight="1" x14ac:dyDescent="0.2">
      <c r="A174" s="278"/>
      <c r="B174" s="278"/>
      <c r="C174" s="278"/>
      <c r="D174" s="261" t="s">
        <v>84</v>
      </c>
      <c r="E174" s="267">
        <v>2</v>
      </c>
      <c r="F174" s="267">
        <v>9165</v>
      </c>
      <c r="G174" s="267">
        <v>18329</v>
      </c>
      <c r="H174" s="267">
        <v>1469</v>
      </c>
      <c r="I174" s="267">
        <v>2938</v>
      </c>
      <c r="J174" s="267">
        <v>15391</v>
      </c>
    </row>
    <row r="175" spans="1:10" ht="14.1" customHeight="1" x14ac:dyDescent="0.2">
      <c r="A175" s="278"/>
      <c r="B175" s="278"/>
      <c r="C175" s="278"/>
      <c r="D175" s="261" t="s">
        <v>78</v>
      </c>
      <c r="E175" s="267">
        <v>16</v>
      </c>
      <c r="F175" s="267">
        <v>37855</v>
      </c>
      <c r="G175" s="267">
        <v>605672</v>
      </c>
      <c r="H175" s="267">
        <v>1469</v>
      </c>
      <c r="I175" s="267">
        <v>23507</v>
      </c>
      <c r="J175" s="267">
        <v>582166</v>
      </c>
    </row>
    <row r="176" spans="1:10" ht="14.1" customHeight="1" x14ac:dyDescent="0.2">
      <c r="A176" s="278"/>
      <c r="B176" s="278"/>
      <c r="C176" s="278"/>
      <c r="D176" s="261" t="s">
        <v>152</v>
      </c>
      <c r="E176" s="267">
        <v>1</v>
      </c>
      <c r="F176" s="267">
        <v>28681</v>
      </c>
      <c r="G176" s="267">
        <v>28681</v>
      </c>
      <c r="H176" s="267">
        <v>1469</v>
      </c>
      <c r="I176" s="267">
        <v>1469</v>
      </c>
      <c r="J176" s="267">
        <v>27212</v>
      </c>
    </row>
    <row r="177" spans="1:10" ht="14.1" customHeight="1" x14ac:dyDescent="0.2">
      <c r="A177" s="278"/>
      <c r="B177" s="278"/>
      <c r="C177" s="278"/>
      <c r="D177" s="261" t="s">
        <v>153</v>
      </c>
      <c r="E177" s="267">
        <v>3</v>
      </c>
      <c r="F177" s="267">
        <v>5831</v>
      </c>
      <c r="G177" s="267">
        <v>17494</v>
      </c>
      <c r="H177" s="267">
        <v>1469</v>
      </c>
      <c r="I177" s="267">
        <v>4408</v>
      </c>
      <c r="J177" s="267">
        <v>13087</v>
      </c>
    </row>
    <row r="178" spans="1:10" ht="14.1" customHeight="1" x14ac:dyDescent="0.2">
      <c r="A178" s="278"/>
      <c r="B178" s="278"/>
      <c r="C178" s="278"/>
      <c r="D178" s="261" t="s">
        <v>154</v>
      </c>
      <c r="E178" s="267">
        <v>7</v>
      </c>
      <c r="F178" s="267">
        <v>7222</v>
      </c>
      <c r="G178" s="267">
        <v>50551</v>
      </c>
      <c r="H178" s="267">
        <v>1469</v>
      </c>
      <c r="I178" s="267">
        <v>10284</v>
      </c>
      <c r="J178" s="267">
        <v>40267</v>
      </c>
    </row>
    <row r="179" spans="1:10" ht="42.95" customHeight="1" x14ac:dyDescent="0.2">
      <c r="A179" s="278"/>
      <c r="B179" s="278"/>
      <c r="C179" s="263" t="s">
        <v>244</v>
      </c>
      <c r="D179" s="261" t="s">
        <v>153</v>
      </c>
      <c r="E179" s="267">
        <v>33</v>
      </c>
      <c r="F179" s="267">
        <v>5440</v>
      </c>
      <c r="G179" s="267">
        <v>179512</v>
      </c>
      <c r="H179" s="267">
        <v>1242</v>
      </c>
      <c r="I179" s="267">
        <v>40980</v>
      </c>
      <c r="J179" s="267">
        <v>138532</v>
      </c>
    </row>
    <row r="180" spans="1:10" ht="42.95" customHeight="1" x14ac:dyDescent="0.2">
      <c r="A180" s="278"/>
      <c r="B180" s="278"/>
      <c r="C180" s="277" t="s">
        <v>245</v>
      </c>
      <c r="D180" s="261" t="s">
        <v>83</v>
      </c>
      <c r="E180" s="267">
        <v>160</v>
      </c>
      <c r="F180" s="267">
        <v>2773</v>
      </c>
      <c r="G180" s="267">
        <v>443622</v>
      </c>
      <c r="H180" s="267">
        <v>790</v>
      </c>
      <c r="I180" s="267">
        <v>126397</v>
      </c>
      <c r="J180" s="267">
        <v>317225</v>
      </c>
    </row>
    <row r="181" spans="1:10" ht="14.1" customHeight="1" x14ac:dyDescent="0.2">
      <c r="A181" s="278"/>
      <c r="B181" s="278"/>
      <c r="C181" s="278"/>
      <c r="D181" s="261" t="s">
        <v>102</v>
      </c>
      <c r="E181" s="267">
        <v>75</v>
      </c>
      <c r="F181" s="267">
        <v>97664</v>
      </c>
      <c r="G181" s="267">
        <v>7324783</v>
      </c>
      <c r="H181" s="267">
        <v>790</v>
      </c>
      <c r="I181" s="267">
        <v>59249</v>
      </c>
      <c r="J181" s="267">
        <v>7265535</v>
      </c>
    </row>
    <row r="182" spans="1:10" ht="14.1" customHeight="1" x14ac:dyDescent="0.2">
      <c r="A182" s="278"/>
      <c r="B182" s="278"/>
      <c r="C182" s="278"/>
      <c r="D182" s="261" t="s">
        <v>92</v>
      </c>
      <c r="E182" s="267">
        <v>14</v>
      </c>
      <c r="F182" s="267">
        <v>31120</v>
      </c>
      <c r="G182" s="267">
        <v>435686</v>
      </c>
      <c r="H182" s="267">
        <v>790</v>
      </c>
      <c r="I182" s="267">
        <v>11060</v>
      </c>
      <c r="J182" s="267">
        <v>424626</v>
      </c>
    </row>
    <row r="183" spans="1:10" ht="14.1" customHeight="1" x14ac:dyDescent="0.2">
      <c r="A183" s="278"/>
      <c r="B183" s="278"/>
      <c r="C183" s="278"/>
      <c r="D183" s="261" t="s">
        <v>86</v>
      </c>
      <c r="E183" s="267">
        <v>1009</v>
      </c>
      <c r="F183" s="267">
        <v>18905</v>
      </c>
      <c r="G183" s="267">
        <v>19075433</v>
      </c>
      <c r="H183" s="267">
        <v>790</v>
      </c>
      <c r="I183" s="267">
        <v>797091</v>
      </c>
      <c r="J183" s="267">
        <v>18278342</v>
      </c>
    </row>
    <row r="184" spans="1:10" ht="14.1" customHeight="1" x14ac:dyDescent="0.2">
      <c r="A184" s="278"/>
      <c r="B184" s="278"/>
      <c r="C184" s="278"/>
      <c r="D184" s="261" t="s">
        <v>87</v>
      </c>
      <c r="E184" s="267">
        <v>22</v>
      </c>
      <c r="F184" s="267">
        <v>12107</v>
      </c>
      <c r="G184" s="267">
        <v>266353</v>
      </c>
      <c r="H184" s="267">
        <v>790</v>
      </c>
      <c r="I184" s="267">
        <v>17380</v>
      </c>
      <c r="J184" s="267">
        <v>248973</v>
      </c>
    </row>
    <row r="185" spans="1:10" ht="14.1" customHeight="1" x14ac:dyDescent="0.2">
      <c r="A185" s="278"/>
      <c r="B185" s="278"/>
      <c r="C185" s="278"/>
      <c r="D185" s="261" t="s">
        <v>84</v>
      </c>
      <c r="E185" s="267">
        <v>321</v>
      </c>
      <c r="F185" s="267">
        <v>8494</v>
      </c>
      <c r="G185" s="267">
        <v>2726578</v>
      </c>
      <c r="H185" s="267">
        <v>790</v>
      </c>
      <c r="I185" s="267">
        <v>253584</v>
      </c>
      <c r="J185" s="267">
        <v>2472994</v>
      </c>
    </row>
    <row r="186" spans="1:10" ht="14.1" customHeight="1" x14ac:dyDescent="0.2">
      <c r="A186" s="278"/>
      <c r="B186" s="278"/>
      <c r="C186" s="278"/>
      <c r="D186" s="261" t="s">
        <v>85</v>
      </c>
      <c r="E186" s="267">
        <v>60</v>
      </c>
      <c r="F186" s="267">
        <v>5771</v>
      </c>
      <c r="G186" s="267">
        <v>346243</v>
      </c>
      <c r="H186" s="267">
        <v>790</v>
      </c>
      <c r="I186" s="267">
        <v>47399</v>
      </c>
      <c r="J186" s="267">
        <v>298844</v>
      </c>
    </row>
    <row r="187" spans="1:10" ht="14.1" customHeight="1" x14ac:dyDescent="0.2">
      <c r="A187" s="278"/>
      <c r="B187" s="278"/>
      <c r="C187" s="278"/>
      <c r="D187" s="261" t="s">
        <v>96</v>
      </c>
      <c r="E187" s="267">
        <v>19</v>
      </c>
      <c r="F187" s="267">
        <v>3507</v>
      </c>
      <c r="G187" s="267">
        <v>66628</v>
      </c>
      <c r="H187" s="267">
        <v>790</v>
      </c>
      <c r="I187" s="267">
        <v>15010</v>
      </c>
      <c r="J187" s="267">
        <v>51618</v>
      </c>
    </row>
    <row r="188" spans="1:10" ht="14.1" customHeight="1" x14ac:dyDescent="0.2">
      <c r="A188" s="278"/>
      <c r="B188" s="278"/>
      <c r="C188" s="278"/>
      <c r="D188" s="261" t="s">
        <v>88</v>
      </c>
      <c r="E188" s="267">
        <v>1</v>
      </c>
      <c r="F188" s="267">
        <v>2149</v>
      </c>
      <c r="G188" s="267">
        <v>2149</v>
      </c>
      <c r="H188" s="267">
        <v>790</v>
      </c>
      <c r="I188" s="267">
        <v>790</v>
      </c>
      <c r="J188" s="267">
        <v>1359</v>
      </c>
    </row>
    <row r="189" spans="1:10" ht="14.1" customHeight="1" x14ac:dyDescent="0.2">
      <c r="A189" s="278"/>
      <c r="B189" s="278"/>
      <c r="C189" s="278"/>
      <c r="D189" s="261" t="s">
        <v>106</v>
      </c>
      <c r="E189" s="267">
        <v>5</v>
      </c>
      <c r="F189" s="267">
        <v>1401</v>
      </c>
      <c r="G189" s="267">
        <v>7004</v>
      </c>
      <c r="H189" s="267">
        <v>790</v>
      </c>
      <c r="I189" s="267">
        <v>3950</v>
      </c>
      <c r="J189" s="267">
        <v>3054</v>
      </c>
    </row>
    <row r="190" spans="1:10" ht="14.1" customHeight="1" x14ac:dyDescent="0.2">
      <c r="A190" s="278"/>
      <c r="B190" s="278"/>
      <c r="C190" s="278"/>
      <c r="D190" s="261" t="s">
        <v>78</v>
      </c>
      <c r="E190" s="267">
        <v>5069</v>
      </c>
      <c r="F190" s="267">
        <v>37187</v>
      </c>
      <c r="G190" s="267">
        <v>188500195</v>
      </c>
      <c r="H190" s="267">
        <v>790</v>
      </c>
      <c r="I190" s="267">
        <v>4004412</v>
      </c>
      <c r="J190" s="267">
        <v>184495782</v>
      </c>
    </row>
    <row r="191" spans="1:10" ht="14.1" customHeight="1" x14ac:dyDescent="0.2">
      <c r="A191" s="278"/>
      <c r="B191" s="278"/>
      <c r="C191" s="278"/>
      <c r="D191" s="261" t="s">
        <v>152</v>
      </c>
      <c r="E191" s="267">
        <v>103</v>
      </c>
      <c r="F191" s="267">
        <v>28002</v>
      </c>
      <c r="G191" s="267">
        <v>2884198</v>
      </c>
      <c r="H191" s="267">
        <v>790</v>
      </c>
      <c r="I191" s="267">
        <v>81368</v>
      </c>
      <c r="J191" s="267">
        <v>2802830</v>
      </c>
    </row>
    <row r="192" spans="1:10" ht="14.1" customHeight="1" x14ac:dyDescent="0.2">
      <c r="A192" s="278"/>
      <c r="B192" s="278"/>
      <c r="C192" s="278"/>
      <c r="D192" s="261" t="s">
        <v>153</v>
      </c>
      <c r="E192" s="267">
        <v>120</v>
      </c>
      <c r="F192" s="267">
        <v>5152</v>
      </c>
      <c r="G192" s="267">
        <v>618266</v>
      </c>
      <c r="H192" s="267">
        <v>790</v>
      </c>
      <c r="I192" s="267">
        <v>94798</v>
      </c>
      <c r="J192" s="267">
        <v>523468</v>
      </c>
    </row>
    <row r="193" spans="1:10" ht="14.1" customHeight="1" x14ac:dyDescent="0.2">
      <c r="A193" s="278"/>
      <c r="B193" s="278"/>
      <c r="C193" s="278"/>
      <c r="D193" s="261" t="s">
        <v>154</v>
      </c>
      <c r="E193" s="267">
        <v>1360</v>
      </c>
      <c r="F193" s="267">
        <v>6546</v>
      </c>
      <c r="G193" s="267">
        <v>8903083</v>
      </c>
      <c r="H193" s="267">
        <v>790</v>
      </c>
      <c r="I193" s="267">
        <v>1074374</v>
      </c>
      <c r="J193" s="267">
        <v>7828709</v>
      </c>
    </row>
    <row r="194" spans="1:10" ht="29.1" customHeight="1" x14ac:dyDescent="0.2">
      <c r="A194" s="278"/>
      <c r="B194" s="277" t="s">
        <v>247</v>
      </c>
      <c r="C194" s="280" t="s">
        <v>75</v>
      </c>
      <c r="D194" s="261" t="s">
        <v>99</v>
      </c>
      <c r="E194" s="267">
        <v>1</v>
      </c>
      <c r="F194" s="267">
        <v>30330</v>
      </c>
      <c r="G194" s="267">
        <v>30330</v>
      </c>
      <c r="H194" s="267">
        <v>1188</v>
      </c>
      <c r="I194" s="267">
        <v>1188</v>
      </c>
      <c r="J194" s="267">
        <v>29143</v>
      </c>
    </row>
    <row r="195" spans="1:10" ht="14.1" customHeight="1" x14ac:dyDescent="0.2">
      <c r="A195" s="278"/>
      <c r="B195" s="278"/>
      <c r="C195" s="278"/>
      <c r="D195" s="261" t="s">
        <v>91</v>
      </c>
      <c r="E195" s="267">
        <v>3</v>
      </c>
      <c r="F195" s="267">
        <v>18108</v>
      </c>
      <c r="G195" s="267">
        <v>54324</v>
      </c>
      <c r="H195" s="267">
        <v>1188</v>
      </c>
      <c r="I195" s="267">
        <v>3564</v>
      </c>
      <c r="J195" s="267">
        <v>50760</v>
      </c>
    </row>
    <row r="196" spans="1:10" ht="14.1" customHeight="1" x14ac:dyDescent="0.2">
      <c r="A196" s="278"/>
      <c r="B196" s="278"/>
      <c r="C196" s="278"/>
      <c r="D196" s="261" t="s">
        <v>97</v>
      </c>
      <c r="E196" s="267">
        <v>6</v>
      </c>
      <c r="F196" s="267">
        <v>11317</v>
      </c>
      <c r="G196" s="267">
        <v>67902</v>
      </c>
      <c r="H196" s="267">
        <v>1188</v>
      </c>
      <c r="I196" s="267">
        <v>7127</v>
      </c>
      <c r="J196" s="267">
        <v>60775</v>
      </c>
    </row>
    <row r="197" spans="1:10" ht="14.1" customHeight="1" x14ac:dyDescent="0.2">
      <c r="A197" s="278"/>
      <c r="B197" s="278"/>
      <c r="C197" s="278"/>
      <c r="D197" s="261" t="s">
        <v>90</v>
      </c>
      <c r="E197" s="267">
        <v>33</v>
      </c>
      <c r="F197" s="267">
        <v>7696</v>
      </c>
      <c r="G197" s="267">
        <v>253954</v>
      </c>
      <c r="H197" s="267">
        <v>1188</v>
      </c>
      <c r="I197" s="267">
        <v>39199</v>
      </c>
      <c r="J197" s="267">
        <v>214754</v>
      </c>
    </row>
    <row r="198" spans="1:10" ht="14.1" customHeight="1" x14ac:dyDescent="0.2">
      <c r="A198" s="278"/>
      <c r="B198" s="278"/>
      <c r="C198" s="278"/>
      <c r="D198" s="261" t="s">
        <v>98</v>
      </c>
      <c r="E198" s="267">
        <v>1</v>
      </c>
      <c r="F198" s="267">
        <v>2717</v>
      </c>
      <c r="G198" s="267">
        <v>2717</v>
      </c>
      <c r="H198" s="267">
        <v>1188</v>
      </c>
      <c r="I198" s="267">
        <v>1188</v>
      </c>
      <c r="J198" s="267">
        <v>1529</v>
      </c>
    </row>
    <row r="199" spans="1:10" ht="42.95" customHeight="1" x14ac:dyDescent="0.2">
      <c r="A199" s="278"/>
      <c r="B199" s="278"/>
      <c r="C199" s="277" t="s">
        <v>243</v>
      </c>
      <c r="D199" s="261" t="s">
        <v>87</v>
      </c>
      <c r="E199" s="267">
        <v>1</v>
      </c>
      <c r="F199" s="267">
        <v>12786</v>
      </c>
      <c r="G199" s="267">
        <v>12786</v>
      </c>
      <c r="H199" s="267">
        <v>2657</v>
      </c>
      <c r="I199" s="267">
        <v>2657</v>
      </c>
      <c r="J199" s="267">
        <v>10129</v>
      </c>
    </row>
    <row r="200" spans="1:10" ht="14.1" customHeight="1" x14ac:dyDescent="0.2">
      <c r="A200" s="278"/>
      <c r="B200" s="278"/>
      <c r="C200" s="278"/>
      <c r="D200" s="261" t="s">
        <v>84</v>
      </c>
      <c r="E200" s="267">
        <v>319</v>
      </c>
      <c r="F200" s="267">
        <v>9165</v>
      </c>
      <c r="G200" s="267">
        <v>2923552</v>
      </c>
      <c r="H200" s="267">
        <v>2657</v>
      </c>
      <c r="I200" s="267">
        <v>847593</v>
      </c>
      <c r="J200" s="267">
        <v>2075959</v>
      </c>
    </row>
    <row r="201" spans="1:10" ht="14.1" customHeight="1" x14ac:dyDescent="0.2">
      <c r="A201" s="278"/>
      <c r="B201" s="278"/>
      <c r="C201" s="278"/>
      <c r="D201" s="261" t="s">
        <v>85</v>
      </c>
      <c r="E201" s="267">
        <v>4</v>
      </c>
      <c r="F201" s="267">
        <v>6450</v>
      </c>
      <c r="G201" s="267">
        <v>25800</v>
      </c>
      <c r="H201" s="267">
        <v>2657</v>
      </c>
      <c r="I201" s="267">
        <v>10628</v>
      </c>
      <c r="J201" s="267">
        <v>15171</v>
      </c>
    </row>
    <row r="202" spans="1:10" ht="42.95" customHeight="1" x14ac:dyDescent="0.2">
      <c r="A202" s="278"/>
      <c r="B202" s="278"/>
      <c r="C202" s="277" t="s">
        <v>245</v>
      </c>
      <c r="D202" s="261" t="s">
        <v>102</v>
      </c>
      <c r="E202" s="267">
        <v>3</v>
      </c>
      <c r="F202" s="267">
        <v>97664</v>
      </c>
      <c r="G202" s="267">
        <v>292991</v>
      </c>
      <c r="H202" s="267">
        <v>1978</v>
      </c>
      <c r="I202" s="267">
        <v>5934</v>
      </c>
      <c r="J202" s="267">
        <v>287058</v>
      </c>
    </row>
    <row r="203" spans="1:10" ht="14.1" customHeight="1" x14ac:dyDescent="0.2">
      <c r="A203" s="278"/>
      <c r="B203" s="278"/>
      <c r="C203" s="278"/>
      <c r="D203" s="261" t="s">
        <v>92</v>
      </c>
      <c r="E203" s="267">
        <v>901</v>
      </c>
      <c r="F203" s="267">
        <v>31120</v>
      </c>
      <c r="G203" s="267">
        <v>28039502</v>
      </c>
      <c r="H203" s="267">
        <v>1978</v>
      </c>
      <c r="I203" s="267">
        <v>1782036</v>
      </c>
      <c r="J203" s="267">
        <v>26257466</v>
      </c>
    </row>
    <row r="204" spans="1:10" ht="14.1" customHeight="1" x14ac:dyDescent="0.2">
      <c r="A204" s="278"/>
      <c r="B204" s="278"/>
      <c r="C204" s="278"/>
      <c r="D204" s="261" t="s">
        <v>86</v>
      </c>
      <c r="E204" s="267">
        <v>6091</v>
      </c>
      <c r="F204" s="267">
        <v>18900</v>
      </c>
      <c r="G204" s="267">
        <v>115122612</v>
      </c>
      <c r="H204" s="267">
        <v>1978</v>
      </c>
      <c r="I204" s="267">
        <v>12047036</v>
      </c>
      <c r="J204" s="267">
        <v>103075576</v>
      </c>
    </row>
    <row r="205" spans="1:10" ht="14.1" customHeight="1" x14ac:dyDescent="0.2">
      <c r="A205" s="278"/>
      <c r="B205" s="278"/>
      <c r="C205" s="278"/>
      <c r="D205" s="261" t="s">
        <v>87</v>
      </c>
      <c r="E205" s="267">
        <v>8009</v>
      </c>
      <c r="F205" s="267">
        <v>12109</v>
      </c>
      <c r="G205" s="267">
        <v>96977358</v>
      </c>
      <c r="H205" s="267">
        <v>1978</v>
      </c>
      <c r="I205" s="267">
        <v>15840537</v>
      </c>
      <c r="J205" s="267">
        <v>81136822</v>
      </c>
    </row>
    <row r="206" spans="1:10" ht="14.1" customHeight="1" x14ac:dyDescent="0.2">
      <c r="A206" s="278"/>
      <c r="B206" s="278"/>
      <c r="C206" s="278"/>
      <c r="D206" s="261" t="s">
        <v>84</v>
      </c>
      <c r="E206" s="267">
        <v>13997</v>
      </c>
      <c r="F206" s="267">
        <v>8494</v>
      </c>
      <c r="G206" s="267">
        <v>118896523</v>
      </c>
      <c r="H206" s="267">
        <v>1978</v>
      </c>
      <c r="I206" s="267">
        <v>27683855</v>
      </c>
      <c r="J206" s="267">
        <v>91212669</v>
      </c>
    </row>
    <row r="207" spans="1:10" ht="14.1" customHeight="1" x14ac:dyDescent="0.2">
      <c r="A207" s="278"/>
      <c r="B207" s="278"/>
      <c r="C207" s="278"/>
      <c r="D207" s="261" t="s">
        <v>85</v>
      </c>
      <c r="E207" s="267">
        <v>276</v>
      </c>
      <c r="F207" s="267">
        <v>5778</v>
      </c>
      <c r="G207" s="267">
        <v>1594754</v>
      </c>
      <c r="H207" s="267">
        <v>1978</v>
      </c>
      <c r="I207" s="267">
        <v>545884</v>
      </c>
      <c r="J207" s="267">
        <v>1048870</v>
      </c>
    </row>
    <row r="208" spans="1:10" ht="14.1" customHeight="1" x14ac:dyDescent="0.2">
      <c r="A208" s="278"/>
      <c r="B208" s="278"/>
      <c r="C208" s="278"/>
      <c r="D208" s="261" t="s">
        <v>96</v>
      </c>
      <c r="E208" s="267">
        <v>852</v>
      </c>
      <c r="F208" s="267">
        <v>3511</v>
      </c>
      <c r="G208" s="267">
        <v>2991142</v>
      </c>
      <c r="H208" s="267">
        <v>1978</v>
      </c>
      <c r="I208" s="267">
        <v>1685121</v>
      </c>
      <c r="J208" s="267">
        <v>1306020</v>
      </c>
    </row>
    <row r="209" spans="1:10" ht="14.1" customHeight="1" x14ac:dyDescent="0.2">
      <c r="A209" s="278"/>
      <c r="B209" s="278"/>
      <c r="C209" s="278"/>
      <c r="D209" s="261" t="s">
        <v>88</v>
      </c>
      <c r="E209" s="267">
        <v>511</v>
      </c>
      <c r="F209" s="267">
        <v>2149</v>
      </c>
      <c r="G209" s="267">
        <v>1098305</v>
      </c>
      <c r="H209" s="267">
        <v>1978</v>
      </c>
      <c r="I209" s="267">
        <v>1010677</v>
      </c>
      <c r="J209" s="267">
        <v>87628</v>
      </c>
    </row>
    <row r="210" spans="1:10" ht="14.1" customHeight="1" x14ac:dyDescent="0.2">
      <c r="A210" s="278" t="s">
        <v>5</v>
      </c>
      <c r="B210" s="278" t="s">
        <v>60</v>
      </c>
      <c r="C210" s="278"/>
      <c r="D210" s="278"/>
      <c r="E210" s="267">
        <v>4622</v>
      </c>
      <c r="F210" s="267"/>
      <c r="G210" s="267">
        <v>98142385</v>
      </c>
      <c r="H210" s="267"/>
      <c r="I210" s="267">
        <v>5912962</v>
      </c>
      <c r="J210" s="267">
        <v>92229423</v>
      </c>
    </row>
    <row r="211" spans="1:10" ht="14.1" customHeight="1" x14ac:dyDescent="0.2">
      <c r="A211" s="278"/>
      <c r="B211" s="261" t="s">
        <v>71</v>
      </c>
      <c r="C211" s="261" t="s">
        <v>72</v>
      </c>
      <c r="D211" s="261" t="s">
        <v>73</v>
      </c>
      <c r="E211" s="284">
        <v>1877</v>
      </c>
      <c r="F211" s="284">
        <v>12172</v>
      </c>
      <c r="G211" s="284">
        <v>22847683</v>
      </c>
      <c r="H211" s="284">
        <v>1978</v>
      </c>
      <c r="I211" s="284">
        <v>3712409</v>
      </c>
      <c r="J211" s="284">
        <v>19135274</v>
      </c>
    </row>
    <row r="212" spans="1:10" ht="42.95" customHeight="1" x14ac:dyDescent="0.2">
      <c r="A212" s="278"/>
      <c r="B212" s="265" t="s">
        <v>74</v>
      </c>
      <c r="C212" s="263" t="s">
        <v>245</v>
      </c>
      <c r="D212" s="261" t="s">
        <v>79</v>
      </c>
      <c r="E212" s="285"/>
      <c r="F212" s="285"/>
      <c r="G212" s="285"/>
      <c r="H212" s="285"/>
      <c r="I212" s="285"/>
      <c r="J212" s="285"/>
    </row>
    <row r="213" spans="1:10" ht="42.95" customHeight="1" x14ac:dyDescent="0.2">
      <c r="A213" s="278"/>
      <c r="B213" s="277" t="s">
        <v>246</v>
      </c>
      <c r="C213" s="280" t="s">
        <v>75</v>
      </c>
      <c r="D213" s="261" t="s">
        <v>91</v>
      </c>
      <c r="E213" s="267">
        <v>2</v>
      </c>
      <c r="F213" s="267">
        <v>18108</v>
      </c>
      <c r="G213" s="267">
        <v>36216</v>
      </c>
      <c r="H213" s="267">
        <v>0</v>
      </c>
      <c r="I213" s="267">
        <v>0</v>
      </c>
      <c r="J213" s="267">
        <v>36216</v>
      </c>
    </row>
    <row r="214" spans="1:10" ht="14.1" customHeight="1" x14ac:dyDescent="0.2">
      <c r="A214" s="278"/>
      <c r="B214" s="278"/>
      <c r="C214" s="278"/>
      <c r="D214" s="261" t="s">
        <v>76</v>
      </c>
      <c r="E214" s="267">
        <v>8</v>
      </c>
      <c r="F214" s="267">
        <v>36385</v>
      </c>
      <c r="G214" s="267">
        <v>291083</v>
      </c>
      <c r="H214" s="267">
        <v>0</v>
      </c>
      <c r="I214" s="267">
        <v>0</v>
      </c>
      <c r="J214" s="267">
        <v>291083</v>
      </c>
    </row>
    <row r="215" spans="1:10" ht="14.1" customHeight="1" x14ac:dyDescent="0.2">
      <c r="A215" s="278"/>
      <c r="B215" s="278"/>
      <c r="C215" s="278"/>
      <c r="D215" s="261" t="s">
        <v>155</v>
      </c>
      <c r="E215" s="267">
        <v>1</v>
      </c>
      <c r="F215" s="267">
        <v>4362</v>
      </c>
      <c r="G215" s="267">
        <v>4362</v>
      </c>
      <c r="H215" s="267">
        <v>0</v>
      </c>
      <c r="I215" s="267">
        <v>0</v>
      </c>
      <c r="J215" s="267">
        <v>4362</v>
      </c>
    </row>
    <row r="216" spans="1:10" ht="42.95" customHeight="1" x14ac:dyDescent="0.2">
      <c r="A216" s="278"/>
      <c r="B216" s="278"/>
      <c r="C216" s="277" t="s">
        <v>243</v>
      </c>
      <c r="D216" s="261" t="s">
        <v>83</v>
      </c>
      <c r="E216" s="267">
        <v>7</v>
      </c>
      <c r="F216" s="267">
        <v>3452</v>
      </c>
      <c r="G216" s="267">
        <v>24163</v>
      </c>
      <c r="H216" s="267">
        <v>1469</v>
      </c>
      <c r="I216" s="267">
        <v>10284</v>
      </c>
      <c r="J216" s="267">
        <v>13879</v>
      </c>
    </row>
    <row r="217" spans="1:10" ht="14.1" customHeight="1" x14ac:dyDescent="0.2">
      <c r="A217" s="278"/>
      <c r="B217" s="278"/>
      <c r="C217" s="278"/>
      <c r="D217" s="261" t="s">
        <v>78</v>
      </c>
      <c r="E217" s="267">
        <v>49</v>
      </c>
      <c r="F217" s="267">
        <v>37855</v>
      </c>
      <c r="G217" s="267">
        <v>1854872</v>
      </c>
      <c r="H217" s="267">
        <v>1469</v>
      </c>
      <c r="I217" s="267">
        <v>71989</v>
      </c>
      <c r="J217" s="267">
        <v>1782882</v>
      </c>
    </row>
    <row r="218" spans="1:10" ht="42.95" customHeight="1" x14ac:dyDescent="0.2">
      <c r="A218" s="278"/>
      <c r="B218" s="278"/>
      <c r="C218" s="277" t="s">
        <v>244</v>
      </c>
      <c r="D218" s="261" t="s">
        <v>83</v>
      </c>
      <c r="E218" s="267">
        <v>2</v>
      </c>
      <c r="F218" s="267">
        <v>3224</v>
      </c>
      <c r="G218" s="267">
        <v>6449</v>
      </c>
      <c r="H218" s="267">
        <v>1242</v>
      </c>
      <c r="I218" s="267">
        <v>2484</v>
      </c>
      <c r="J218" s="267">
        <v>3965</v>
      </c>
    </row>
    <row r="219" spans="1:10" ht="14.1" customHeight="1" x14ac:dyDescent="0.2">
      <c r="A219" s="278"/>
      <c r="B219" s="278"/>
      <c r="C219" s="278"/>
      <c r="D219" s="261" t="s">
        <v>154</v>
      </c>
      <c r="E219" s="267">
        <v>4</v>
      </c>
      <c r="F219" s="267">
        <v>6542</v>
      </c>
      <c r="G219" s="267">
        <v>26170</v>
      </c>
      <c r="H219" s="267">
        <v>1242</v>
      </c>
      <c r="I219" s="267">
        <v>4967</v>
      </c>
      <c r="J219" s="267">
        <v>21202</v>
      </c>
    </row>
    <row r="220" spans="1:10" ht="42.95" customHeight="1" x14ac:dyDescent="0.2">
      <c r="A220" s="278"/>
      <c r="B220" s="278"/>
      <c r="C220" s="277" t="s">
        <v>245</v>
      </c>
      <c r="D220" s="261" t="s">
        <v>83</v>
      </c>
      <c r="E220" s="267">
        <v>415</v>
      </c>
      <c r="F220" s="267">
        <v>2773</v>
      </c>
      <c r="G220" s="267">
        <v>1150645</v>
      </c>
      <c r="H220" s="267">
        <v>790</v>
      </c>
      <c r="I220" s="267">
        <v>327842</v>
      </c>
      <c r="J220" s="267">
        <v>822803</v>
      </c>
    </row>
    <row r="221" spans="1:10" ht="14.1" customHeight="1" x14ac:dyDescent="0.2">
      <c r="A221" s="278"/>
      <c r="B221" s="278"/>
      <c r="C221" s="278"/>
      <c r="D221" s="261" t="s">
        <v>92</v>
      </c>
      <c r="E221" s="267">
        <v>156</v>
      </c>
      <c r="F221" s="267">
        <v>31120</v>
      </c>
      <c r="G221" s="267">
        <v>4854786</v>
      </c>
      <c r="H221" s="267">
        <v>790</v>
      </c>
      <c r="I221" s="267">
        <v>123237</v>
      </c>
      <c r="J221" s="267">
        <v>4731549</v>
      </c>
    </row>
    <row r="222" spans="1:10" ht="14.1" customHeight="1" x14ac:dyDescent="0.2">
      <c r="A222" s="278"/>
      <c r="B222" s="278"/>
      <c r="C222" s="278"/>
      <c r="D222" s="261" t="s">
        <v>86</v>
      </c>
      <c r="E222" s="267">
        <v>543</v>
      </c>
      <c r="F222" s="267">
        <v>18898</v>
      </c>
      <c r="G222" s="267">
        <v>10261549</v>
      </c>
      <c r="H222" s="267">
        <v>790</v>
      </c>
      <c r="I222" s="267">
        <v>428960</v>
      </c>
      <c r="J222" s="267">
        <v>9832590</v>
      </c>
    </row>
    <row r="223" spans="1:10" ht="14.1" customHeight="1" x14ac:dyDescent="0.2">
      <c r="A223" s="278"/>
      <c r="B223" s="278"/>
      <c r="C223" s="278"/>
      <c r="D223" s="261" t="s">
        <v>87</v>
      </c>
      <c r="E223" s="267">
        <v>12</v>
      </c>
      <c r="F223" s="267">
        <v>12107</v>
      </c>
      <c r="G223" s="267">
        <v>145283</v>
      </c>
      <c r="H223" s="267">
        <v>790</v>
      </c>
      <c r="I223" s="267">
        <v>9480</v>
      </c>
      <c r="J223" s="267">
        <v>135803</v>
      </c>
    </row>
    <row r="224" spans="1:10" ht="14.1" customHeight="1" x14ac:dyDescent="0.2">
      <c r="A224" s="278"/>
      <c r="B224" s="278"/>
      <c r="C224" s="278"/>
      <c r="D224" s="261" t="s">
        <v>84</v>
      </c>
      <c r="E224" s="267">
        <v>28</v>
      </c>
      <c r="F224" s="267">
        <v>8486</v>
      </c>
      <c r="G224" s="267">
        <v>237595</v>
      </c>
      <c r="H224" s="267">
        <v>790</v>
      </c>
      <c r="I224" s="267">
        <v>22119</v>
      </c>
      <c r="J224" s="267">
        <v>215476</v>
      </c>
    </row>
    <row r="225" spans="1:10" ht="14.1" customHeight="1" x14ac:dyDescent="0.2">
      <c r="A225" s="278"/>
      <c r="B225" s="278"/>
      <c r="C225" s="278"/>
      <c r="D225" s="261" t="s">
        <v>78</v>
      </c>
      <c r="E225" s="267">
        <v>1517</v>
      </c>
      <c r="F225" s="267">
        <v>37175</v>
      </c>
      <c r="G225" s="267">
        <v>56394987</v>
      </c>
      <c r="H225" s="267">
        <v>790</v>
      </c>
      <c r="I225" s="267">
        <v>1198401</v>
      </c>
      <c r="J225" s="267">
        <v>55196586</v>
      </c>
    </row>
    <row r="226" spans="1:10" ht="14.1" customHeight="1" x14ac:dyDescent="0.2">
      <c r="A226" s="278"/>
      <c r="B226" s="278"/>
      <c r="C226" s="278"/>
      <c r="D226" s="261" t="s">
        <v>154</v>
      </c>
      <c r="E226" s="267">
        <v>1</v>
      </c>
      <c r="F226" s="267">
        <v>6542</v>
      </c>
      <c r="G226" s="267">
        <v>6542</v>
      </c>
      <c r="H226" s="267">
        <v>790</v>
      </c>
      <c r="I226" s="267">
        <v>790</v>
      </c>
      <c r="J226" s="267">
        <v>5752</v>
      </c>
    </row>
    <row r="227" spans="1:10" ht="29.1" customHeight="1" x14ac:dyDescent="0.2">
      <c r="A227" s="277" t="s">
        <v>248</v>
      </c>
      <c r="B227" s="278" t="s">
        <v>60</v>
      </c>
      <c r="C227" s="278"/>
      <c r="D227" s="278"/>
      <c r="E227" s="267">
        <v>35212</v>
      </c>
      <c r="F227" s="267"/>
      <c r="G227" s="267">
        <v>516175311</v>
      </c>
      <c r="H227" s="267"/>
      <c r="I227" s="267">
        <v>53294088</v>
      </c>
      <c r="J227" s="267">
        <v>462881223</v>
      </c>
    </row>
    <row r="228" spans="1:10" ht="14.1" customHeight="1" x14ac:dyDescent="0.2">
      <c r="A228" s="278"/>
      <c r="B228" s="261" t="s">
        <v>71</v>
      </c>
      <c r="C228" s="261" t="s">
        <v>72</v>
      </c>
      <c r="D228" s="261" t="s">
        <v>73</v>
      </c>
      <c r="E228" s="284">
        <v>17</v>
      </c>
      <c r="F228" s="284">
        <v>11382</v>
      </c>
      <c r="G228" s="284">
        <v>193502</v>
      </c>
      <c r="H228" s="284">
        <v>0</v>
      </c>
      <c r="I228" s="284">
        <v>0</v>
      </c>
      <c r="J228" s="284">
        <v>193502</v>
      </c>
    </row>
    <row r="229" spans="1:10" ht="14.1" customHeight="1" x14ac:dyDescent="0.2">
      <c r="A229" s="278"/>
      <c r="B229" s="279" t="s">
        <v>74</v>
      </c>
      <c r="C229" s="262" t="s">
        <v>75</v>
      </c>
      <c r="D229" s="261" t="s">
        <v>77</v>
      </c>
      <c r="E229" s="285"/>
      <c r="F229" s="285"/>
      <c r="G229" s="285"/>
      <c r="H229" s="285"/>
      <c r="I229" s="285"/>
      <c r="J229" s="285"/>
    </row>
    <row r="230" spans="1:10" ht="42.95" customHeight="1" x14ac:dyDescent="0.2">
      <c r="A230" s="278"/>
      <c r="B230" s="278"/>
      <c r="C230" s="263" t="s">
        <v>243</v>
      </c>
      <c r="D230" s="261" t="s">
        <v>79</v>
      </c>
      <c r="E230" s="267">
        <v>4</v>
      </c>
      <c r="F230" s="267">
        <v>12852</v>
      </c>
      <c r="G230" s="267">
        <v>51407</v>
      </c>
      <c r="H230" s="267">
        <v>2657</v>
      </c>
      <c r="I230" s="267">
        <v>10628</v>
      </c>
      <c r="J230" s="267">
        <v>40778</v>
      </c>
    </row>
    <row r="231" spans="1:10" ht="42.95" customHeight="1" x14ac:dyDescent="0.2">
      <c r="A231" s="278"/>
      <c r="B231" s="278"/>
      <c r="C231" s="263" t="s">
        <v>245</v>
      </c>
      <c r="D231" s="261" t="s">
        <v>79</v>
      </c>
      <c r="E231" s="267">
        <v>1748</v>
      </c>
      <c r="F231" s="267">
        <v>12172</v>
      </c>
      <c r="G231" s="267">
        <v>21277437</v>
      </c>
      <c r="H231" s="267">
        <v>1978</v>
      </c>
      <c r="I231" s="267">
        <v>3457268</v>
      </c>
      <c r="J231" s="267">
        <v>17820170</v>
      </c>
    </row>
    <row r="232" spans="1:10" ht="42.95" customHeight="1" x14ac:dyDescent="0.2">
      <c r="A232" s="278"/>
      <c r="B232" s="279" t="s">
        <v>89</v>
      </c>
      <c r="C232" s="277" t="s">
        <v>243</v>
      </c>
      <c r="D232" s="261" t="s">
        <v>84</v>
      </c>
      <c r="E232" s="267">
        <v>23</v>
      </c>
      <c r="F232" s="267">
        <v>9165</v>
      </c>
      <c r="G232" s="267">
        <v>210789</v>
      </c>
      <c r="H232" s="267">
        <v>2296</v>
      </c>
      <c r="I232" s="267">
        <v>52813</v>
      </c>
      <c r="J232" s="267">
        <v>157976</v>
      </c>
    </row>
    <row r="233" spans="1:10" ht="14.1" customHeight="1" x14ac:dyDescent="0.2">
      <c r="A233" s="278"/>
      <c r="B233" s="278"/>
      <c r="C233" s="278"/>
      <c r="D233" s="261" t="s">
        <v>105</v>
      </c>
      <c r="E233" s="267">
        <v>27</v>
      </c>
      <c r="F233" s="267">
        <v>9435</v>
      </c>
      <c r="G233" s="267">
        <v>254757</v>
      </c>
      <c r="H233" s="267">
        <v>2567</v>
      </c>
      <c r="I233" s="267">
        <v>69307</v>
      </c>
      <c r="J233" s="267">
        <v>185450</v>
      </c>
    </row>
    <row r="234" spans="1:10" ht="42.95" customHeight="1" x14ac:dyDescent="0.2">
      <c r="A234" s="278"/>
      <c r="B234" s="278"/>
      <c r="C234" s="277" t="s">
        <v>245</v>
      </c>
      <c r="D234" s="261" t="s">
        <v>101</v>
      </c>
      <c r="E234" s="267">
        <v>1</v>
      </c>
      <c r="F234" s="267">
        <v>17488</v>
      </c>
      <c r="G234" s="267">
        <v>17488</v>
      </c>
      <c r="H234" s="267">
        <v>10619</v>
      </c>
      <c r="I234" s="267">
        <v>10619</v>
      </c>
      <c r="J234" s="267">
        <v>6869</v>
      </c>
    </row>
    <row r="235" spans="1:10" ht="14.1" customHeight="1" x14ac:dyDescent="0.2">
      <c r="A235" s="278"/>
      <c r="B235" s="278"/>
      <c r="C235" s="278"/>
      <c r="D235" s="261" t="s">
        <v>93</v>
      </c>
      <c r="E235" s="267">
        <v>1</v>
      </c>
      <c r="F235" s="267">
        <v>13591</v>
      </c>
      <c r="G235" s="267">
        <v>13591</v>
      </c>
      <c r="H235" s="267">
        <v>6723</v>
      </c>
      <c r="I235" s="267">
        <v>6723</v>
      </c>
      <c r="J235" s="267">
        <v>6869</v>
      </c>
    </row>
    <row r="236" spans="1:10" ht="14.1" customHeight="1" x14ac:dyDescent="0.2">
      <c r="A236" s="278"/>
      <c r="B236" s="278"/>
      <c r="C236" s="278"/>
      <c r="D236" s="261" t="s">
        <v>159</v>
      </c>
      <c r="E236" s="267">
        <v>1</v>
      </c>
      <c r="F236" s="267">
        <v>0</v>
      </c>
      <c r="G236" s="267">
        <v>0</v>
      </c>
      <c r="H236" s="267">
        <v>0</v>
      </c>
      <c r="I236" s="267">
        <v>0</v>
      </c>
      <c r="J236" s="267">
        <v>0</v>
      </c>
    </row>
    <row r="237" spans="1:10" ht="14.1" customHeight="1" x14ac:dyDescent="0.2">
      <c r="A237" s="278"/>
      <c r="B237" s="278"/>
      <c r="C237" s="278"/>
      <c r="D237" s="261" t="s">
        <v>94</v>
      </c>
      <c r="E237" s="267">
        <v>5</v>
      </c>
      <c r="F237" s="267">
        <v>0</v>
      </c>
      <c r="G237" s="267">
        <v>0</v>
      </c>
      <c r="H237" s="267">
        <v>0</v>
      </c>
      <c r="I237" s="267">
        <v>0</v>
      </c>
      <c r="J237" s="267">
        <v>0</v>
      </c>
    </row>
    <row r="238" spans="1:10" ht="14.1" customHeight="1" x14ac:dyDescent="0.2">
      <c r="A238" s="278"/>
      <c r="B238" s="278"/>
      <c r="C238" s="278"/>
      <c r="D238" s="261" t="s">
        <v>84</v>
      </c>
      <c r="E238" s="267">
        <v>7545</v>
      </c>
      <c r="F238" s="267">
        <v>8486</v>
      </c>
      <c r="G238" s="267">
        <v>64023468</v>
      </c>
      <c r="H238" s="267">
        <v>1617</v>
      </c>
      <c r="I238" s="267">
        <v>12200396</v>
      </c>
      <c r="J238" s="267">
        <v>51823072</v>
      </c>
    </row>
    <row r="239" spans="1:10" ht="14.1" customHeight="1" x14ac:dyDescent="0.2">
      <c r="A239" s="278"/>
      <c r="B239" s="278"/>
      <c r="C239" s="278"/>
      <c r="D239" s="261" t="s">
        <v>90</v>
      </c>
      <c r="E239" s="267">
        <v>1</v>
      </c>
      <c r="F239" s="267">
        <v>7696</v>
      </c>
      <c r="G239" s="267">
        <v>7696</v>
      </c>
      <c r="H239" s="267">
        <v>827</v>
      </c>
      <c r="I239" s="267">
        <v>827</v>
      </c>
      <c r="J239" s="267">
        <v>6869</v>
      </c>
    </row>
    <row r="240" spans="1:10" ht="14.1" customHeight="1" x14ac:dyDescent="0.2">
      <c r="A240" s="278"/>
      <c r="B240" s="278"/>
      <c r="C240" s="278"/>
      <c r="D240" s="261" t="s">
        <v>105</v>
      </c>
      <c r="E240" s="267">
        <v>247</v>
      </c>
      <c r="F240" s="267">
        <v>8756</v>
      </c>
      <c r="G240" s="267">
        <v>2162797</v>
      </c>
      <c r="H240" s="267">
        <v>1888</v>
      </c>
      <c r="I240" s="267">
        <v>466269</v>
      </c>
      <c r="J240" s="267">
        <v>1696527</v>
      </c>
    </row>
    <row r="241" spans="1:10" ht="42.95" customHeight="1" x14ac:dyDescent="0.2">
      <c r="A241" s="278"/>
      <c r="B241" s="277" t="s">
        <v>246</v>
      </c>
      <c r="C241" s="280" t="s">
        <v>75</v>
      </c>
      <c r="D241" s="261" t="s">
        <v>91</v>
      </c>
      <c r="E241" s="267">
        <v>14</v>
      </c>
      <c r="F241" s="267">
        <v>18108</v>
      </c>
      <c r="G241" s="267">
        <v>253511</v>
      </c>
      <c r="H241" s="267">
        <v>0</v>
      </c>
      <c r="I241" s="267">
        <v>0</v>
      </c>
      <c r="J241" s="267">
        <v>253511</v>
      </c>
    </row>
    <row r="242" spans="1:10" ht="14.1" customHeight="1" x14ac:dyDescent="0.2">
      <c r="A242" s="278"/>
      <c r="B242" s="278"/>
      <c r="C242" s="278"/>
      <c r="D242" s="261" t="s">
        <v>97</v>
      </c>
      <c r="E242" s="267">
        <v>4</v>
      </c>
      <c r="F242" s="267">
        <v>11317</v>
      </c>
      <c r="G242" s="267">
        <v>45268</v>
      </c>
      <c r="H242" s="267">
        <v>0</v>
      </c>
      <c r="I242" s="267">
        <v>0</v>
      </c>
      <c r="J242" s="267">
        <v>45268</v>
      </c>
    </row>
    <row r="243" spans="1:10" ht="14.1" customHeight="1" x14ac:dyDescent="0.2">
      <c r="A243" s="278"/>
      <c r="B243" s="278"/>
      <c r="C243" s="278"/>
      <c r="D243" s="261" t="s">
        <v>90</v>
      </c>
      <c r="E243" s="267">
        <v>21</v>
      </c>
      <c r="F243" s="267">
        <v>7696</v>
      </c>
      <c r="G243" s="267">
        <v>161607</v>
      </c>
      <c r="H243" s="267">
        <v>0</v>
      </c>
      <c r="I243" s="267">
        <v>0</v>
      </c>
      <c r="J243" s="267">
        <v>161607</v>
      </c>
    </row>
    <row r="244" spans="1:10" ht="14.1" customHeight="1" x14ac:dyDescent="0.2">
      <c r="A244" s="278"/>
      <c r="B244" s="278"/>
      <c r="C244" s="278"/>
      <c r="D244" s="261" t="s">
        <v>76</v>
      </c>
      <c r="E244" s="267">
        <v>64</v>
      </c>
      <c r="F244" s="267">
        <v>36385</v>
      </c>
      <c r="G244" s="267">
        <v>2328663</v>
      </c>
      <c r="H244" s="267">
        <v>0</v>
      </c>
      <c r="I244" s="267">
        <v>0</v>
      </c>
      <c r="J244" s="267">
        <v>2328663</v>
      </c>
    </row>
    <row r="245" spans="1:10" ht="14.1" customHeight="1" x14ac:dyDescent="0.2">
      <c r="A245" s="278"/>
      <c r="B245" s="278"/>
      <c r="C245" s="278"/>
      <c r="D245" s="261" t="s">
        <v>151</v>
      </c>
      <c r="E245" s="267">
        <v>9</v>
      </c>
      <c r="F245" s="267">
        <v>5752</v>
      </c>
      <c r="G245" s="267">
        <v>51772</v>
      </c>
      <c r="H245" s="267">
        <v>0</v>
      </c>
      <c r="I245" s="267">
        <v>0</v>
      </c>
      <c r="J245" s="267">
        <v>51772</v>
      </c>
    </row>
    <row r="246" spans="1:10" ht="42.95" customHeight="1" x14ac:dyDescent="0.2">
      <c r="A246" s="278"/>
      <c r="B246" s="278"/>
      <c r="C246" s="277" t="s">
        <v>243</v>
      </c>
      <c r="D246" s="261" t="s">
        <v>83</v>
      </c>
      <c r="E246" s="267">
        <v>18</v>
      </c>
      <c r="F246" s="267">
        <v>3452</v>
      </c>
      <c r="G246" s="267">
        <v>62133</v>
      </c>
      <c r="H246" s="267">
        <v>1469</v>
      </c>
      <c r="I246" s="267">
        <v>26445</v>
      </c>
      <c r="J246" s="267">
        <v>35688</v>
      </c>
    </row>
    <row r="247" spans="1:10" ht="14.1" customHeight="1" x14ac:dyDescent="0.2">
      <c r="A247" s="278"/>
      <c r="B247" s="278"/>
      <c r="C247" s="278"/>
      <c r="D247" s="261" t="s">
        <v>92</v>
      </c>
      <c r="E247" s="267">
        <v>2</v>
      </c>
      <c r="F247" s="267">
        <v>31800</v>
      </c>
      <c r="G247" s="267">
        <v>63599</v>
      </c>
      <c r="H247" s="267">
        <v>1469</v>
      </c>
      <c r="I247" s="267">
        <v>2938</v>
      </c>
      <c r="J247" s="267">
        <v>60661</v>
      </c>
    </row>
    <row r="248" spans="1:10" ht="14.1" customHeight="1" x14ac:dyDescent="0.2">
      <c r="A248" s="278"/>
      <c r="B248" s="278"/>
      <c r="C248" s="278"/>
      <c r="D248" s="261" t="s">
        <v>86</v>
      </c>
      <c r="E248" s="267">
        <v>10</v>
      </c>
      <c r="F248" s="267">
        <v>19577</v>
      </c>
      <c r="G248" s="267">
        <v>195771</v>
      </c>
      <c r="H248" s="267">
        <v>1469</v>
      </c>
      <c r="I248" s="267">
        <v>14692</v>
      </c>
      <c r="J248" s="267">
        <v>181079</v>
      </c>
    </row>
    <row r="249" spans="1:10" ht="14.1" customHeight="1" x14ac:dyDescent="0.2">
      <c r="A249" s="278"/>
      <c r="B249" s="278"/>
      <c r="C249" s="278"/>
      <c r="D249" s="261" t="s">
        <v>84</v>
      </c>
      <c r="E249" s="267">
        <v>27</v>
      </c>
      <c r="F249" s="267">
        <v>9165</v>
      </c>
      <c r="G249" s="267">
        <v>247448</v>
      </c>
      <c r="H249" s="267">
        <v>1469</v>
      </c>
      <c r="I249" s="267">
        <v>39668</v>
      </c>
      <c r="J249" s="267">
        <v>207780</v>
      </c>
    </row>
    <row r="250" spans="1:10" ht="14.1" customHeight="1" x14ac:dyDescent="0.2">
      <c r="A250" s="278"/>
      <c r="B250" s="278"/>
      <c r="C250" s="278"/>
      <c r="D250" s="261" t="s">
        <v>78</v>
      </c>
      <c r="E250" s="267">
        <v>18</v>
      </c>
      <c r="F250" s="267">
        <v>37855</v>
      </c>
      <c r="G250" s="267">
        <v>681382</v>
      </c>
      <c r="H250" s="267">
        <v>1469</v>
      </c>
      <c r="I250" s="267">
        <v>26445</v>
      </c>
      <c r="J250" s="267">
        <v>654936</v>
      </c>
    </row>
    <row r="251" spans="1:10" ht="14.1" customHeight="1" x14ac:dyDescent="0.2">
      <c r="A251" s="278"/>
      <c r="B251" s="278"/>
      <c r="C251" s="278"/>
      <c r="D251" s="261" t="s">
        <v>153</v>
      </c>
      <c r="E251" s="267">
        <v>49</v>
      </c>
      <c r="F251" s="267">
        <v>5831</v>
      </c>
      <c r="G251" s="267">
        <v>285739</v>
      </c>
      <c r="H251" s="267">
        <v>1469</v>
      </c>
      <c r="I251" s="267">
        <v>71989</v>
      </c>
      <c r="J251" s="267">
        <v>213750</v>
      </c>
    </row>
    <row r="252" spans="1:10" ht="14.1" customHeight="1" x14ac:dyDescent="0.2">
      <c r="A252" s="278"/>
      <c r="B252" s="278"/>
      <c r="C252" s="278"/>
      <c r="D252" s="261" t="s">
        <v>154</v>
      </c>
      <c r="E252" s="267">
        <v>19</v>
      </c>
      <c r="F252" s="267">
        <v>7222</v>
      </c>
      <c r="G252" s="267">
        <v>137210</v>
      </c>
      <c r="H252" s="267">
        <v>1469</v>
      </c>
      <c r="I252" s="267">
        <v>27914</v>
      </c>
      <c r="J252" s="267">
        <v>109296</v>
      </c>
    </row>
    <row r="253" spans="1:10" ht="42.95" customHeight="1" x14ac:dyDescent="0.2">
      <c r="A253" s="278"/>
      <c r="B253" s="278"/>
      <c r="C253" s="263" t="s">
        <v>244</v>
      </c>
      <c r="D253" s="261" t="s">
        <v>84</v>
      </c>
      <c r="E253" s="267">
        <v>80</v>
      </c>
      <c r="F253" s="267">
        <v>8542</v>
      </c>
      <c r="G253" s="267">
        <v>683362</v>
      </c>
      <c r="H253" s="267">
        <v>1242</v>
      </c>
      <c r="I253" s="267">
        <v>99345</v>
      </c>
      <c r="J253" s="267">
        <v>584017</v>
      </c>
    </row>
    <row r="254" spans="1:10" ht="42.95" customHeight="1" x14ac:dyDescent="0.2">
      <c r="A254" s="278"/>
      <c r="B254" s="278"/>
      <c r="C254" s="277" t="s">
        <v>245</v>
      </c>
      <c r="D254" s="261" t="s">
        <v>83</v>
      </c>
      <c r="E254" s="267">
        <v>285</v>
      </c>
      <c r="F254" s="267">
        <v>2773</v>
      </c>
      <c r="G254" s="267">
        <v>790202</v>
      </c>
      <c r="H254" s="267">
        <v>790</v>
      </c>
      <c r="I254" s="267">
        <v>225145</v>
      </c>
      <c r="J254" s="267">
        <v>565058</v>
      </c>
    </row>
    <row r="255" spans="1:10" ht="14.1" customHeight="1" x14ac:dyDescent="0.2">
      <c r="A255" s="278"/>
      <c r="B255" s="278"/>
      <c r="C255" s="278"/>
      <c r="D255" s="261" t="s">
        <v>118</v>
      </c>
      <c r="E255" s="267">
        <v>21</v>
      </c>
      <c r="F255" s="267">
        <v>51490</v>
      </c>
      <c r="G255" s="267">
        <v>1081298</v>
      </c>
      <c r="H255" s="267">
        <v>790</v>
      </c>
      <c r="I255" s="267">
        <v>16590</v>
      </c>
      <c r="J255" s="267">
        <v>1064708</v>
      </c>
    </row>
    <row r="256" spans="1:10" ht="14.1" customHeight="1" x14ac:dyDescent="0.2">
      <c r="A256" s="278"/>
      <c r="B256" s="278"/>
      <c r="C256" s="278"/>
      <c r="D256" s="261" t="s">
        <v>92</v>
      </c>
      <c r="E256" s="267">
        <v>1293</v>
      </c>
      <c r="F256" s="267">
        <v>31120</v>
      </c>
      <c r="G256" s="267">
        <v>40238708</v>
      </c>
      <c r="H256" s="267">
        <v>790</v>
      </c>
      <c r="I256" s="267">
        <v>1021445</v>
      </c>
      <c r="J256" s="267">
        <v>39217263</v>
      </c>
    </row>
    <row r="257" spans="1:10" ht="14.1" customHeight="1" x14ac:dyDescent="0.2">
      <c r="A257" s="278"/>
      <c r="B257" s="278"/>
      <c r="C257" s="278"/>
      <c r="D257" s="261" t="s">
        <v>86</v>
      </c>
      <c r="E257" s="267">
        <v>2315</v>
      </c>
      <c r="F257" s="267">
        <v>18898</v>
      </c>
      <c r="G257" s="267">
        <v>43748593</v>
      </c>
      <c r="H257" s="267">
        <v>790</v>
      </c>
      <c r="I257" s="267">
        <v>1828805</v>
      </c>
      <c r="J257" s="267">
        <v>41919788</v>
      </c>
    </row>
    <row r="258" spans="1:10" ht="14.1" customHeight="1" x14ac:dyDescent="0.2">
      <c r="A258" s="278"/>
      <c r="B258" s="278"/>
      <c r="C258" s="278"/>
      <c r="D258" s="261" t="s">
        <v>87</v>
      </c>
      <c r="E258" s="267">
        <v>195</v>
      </c>
      <c r="F258" s="267">
        <v>12107</v>
      </c>
      <c r="G258" s="267">
        <v>2360853</v>
      </c>
      <c r="H258" s="267">
        <v>790</v>
      </c>
      <c r="I258" s="267">
        <v>154046</v>
      </c>
      <c r="J258" s="267">
        <v>2206806</v>
      </c>
    </row>
    <row r="259" spans="1:10" ht="14.1" customHeight="1" x14ac:dyDescent="0.2">
      <c r="A259" s="278"/>
      <c r="B259" s="278"/>
      <c r="C259" s="278"/>
      <c r="D259" s="261" t="s">
        <v>84</v>
      </c>
      <c r="E259" s="267">
        <v>1049</v>
      </c>
      <c r="F259" s="267">
        <v>8486</v>
      </c>
      <c r="G259" s="267">
        <v>8901341</v>
      </c>
      <c r="H259" s="267">
        <v>790</v>
      </c>
      <c r="I259" s="267">
        <v>828690</v>
      </c>
      <c r="J259" s="267">
        <v>8072651</v>
      </c>
    </row>
    <row r="260" spans="1:10" ht="14.1" customHeight="1" x14ac:dyDescent="0.2">
      <c r="A260" s="278"/>
      <c r="B260" s="278"/>
      <c r="C260" s="278"/>
      <c r="D260" s="261" t="s">
        <v>85</v>
      </c>
      <c r="E260" s="267">
        <v>155</v>
      </c>
      <c r="F260" s="267">
        <v>5771</v>
      </c>
      <c r="G260" s="267">
        <v>894461</v>
      </c>
      <c r="H260" s="267">
        <v>790</v>
      </c>
      <c r="I260" s="267">
        <v>122447</v>
      </c>
      <c r="J260" s="267">
        <v>772013</v>
      </c>
    </row>
    <row r="261" spans="1:10" ht="14.1" customHeight="1" x14ac:dyDescent="0.2">
      <c r="A261" s="278"/>
      <c r="B261" s="278"/>
      <c r="C261" s="278"/>
      <c r="D261" s="261" t="s">
        <v>96</v>
      </c>
      <c r="E261" s="267">
        <v>63</v>
      </c>
      <c r="F261" s="267">
        <v>3507</v>
      </c>
      <c r="G261" s="267">
        <v>220925</v>
      </c>
      <c r="H261" s="267">
        <v>790</v>
      </c>
      <c r="I261" s="267">
        <v>49769</v>
      </c>
      <c r="J261" s="267">
        <v>171156</v>
      </c>
    </row>
    <row r="262" spans="1:10" ht="14.1" customHeight="1" x14ac:dyDescent="0.2">
      <c r="A262" s="278"/>
      <c r="B262" s="278"/>
      <c r="C262" s="278"/>
      <c r="D262" s="261" t="s">
        <v>88</v>
      </c>
      <c r="E262" s="267">
        <v>22</v>
      </c>
      <c r="F262" s="267">
        <v>2149</v>
      </c>
      <c r="G262" s="267">
        <v>47285</v>
      </c>
      <c r="H262" s="267">
        <v>790</v>
      </c>
      <c r="I262" s="267">
        <v>17380</v>
      </c>
      <c r="J262" s="267">
        <v>29906</v>
      </c>
    </row>
    <row r="263" spans="1:10" ht="14.1" customHeight="1" x14ac:dyDescent="0.2">
      <c r="A263" s="278"/>
      <c r="B263" s="278"/>
      <c r="C263" s="278"/>
      <c r="D263" s="261" t="s">
        <v>78</v>
      </c>
      <c r="E263" s="267">
        <v>3584</v>
      </c>
      <c r="F263" s="267">
        <v>37175</v>
      </c>
      <c r="G263" s="267">
        <v>133236408</v>
      </c>
      <c r="H263" s="267">
        <v>790</v>
      </c>
      <c r="I263" s="267">
        <v>2831291</v>
      </c>
      <c r="J263" s="267">
        <v>130405118</v>
      </c>
    </row>
    <row r="264" spans="1:10" ht="14.1" customHeight="1" x14ac:dyDescent="0.2">
      <c r="A264" s="278"/>
      <c r="B264" s="278"/>
      <c r="C264" s="278"/>
      <c r="D264" s="261" t="s">
        <v>153</v>
      </c>
      <c r="E264" s="267">
        <v>1547</v>
      </c>
      <c r="F264" s="267">
        <v>5152</v>
      </c>
      <c r="G264" s="267">
        <v>7970478</v>
      </c>
      <c r="H264" s="267">
        <v>790</v>
      </c>
      <c r="I264" s="267">
        <v>1222100</v>
      </c>
      <c r="J264" s="267">
        <v>6748378</v>
      </c>
    </row>
    <row r="265" spans="1:10" ht="14.1" customHeight="1" x14ac:dyDescent="0.2">
      <c r="A265" s="278"/>
      <c r="B265" s="278"/>
      <c r="C265" s="278"/>
      <c r="D265" s="261" t="s">
        <v>154</v>
      </c>
      <c r="E265" s="267">
        <v>555</v>
      </c>
      <c r="F265" s="267">
        <v>6542</v>
      </c>
      <c r="G265" s="267">
        <v>3631026</v>
      </c>
      <c r="H265" s="267">
        <v>790</v>
      </c>
      <c r="I265" s="267">
        <v>438439</v>
      </c>
      <c r="J265" s="267">
        <v>3192587</v>
      </c>
    </row>
    <row r="266" spans="1:10" ht="29.1" customHeight="1" x14ac:dyDescent="0.2">
      <c r="A266" s="278"/>
      <c r="B266" s="277" t="s">
        <v>247</v>
      </c>
      <c r="C266" s="280" t="s">
        <v>75</v>
      </c>
      <c r="D266" s="261" t="s">
        <v>99</v>
      </c>
      <c r="E266" s="267">
        <v>1</v>
      </c>
      <c r="F266" s="267">
        <v>30330</v>
      </c>
      <c r="G266" s="267">
        <v>30330</v>
      </c>
      <c r="H266" s="267">
        <v>1188</v>
      </c>
      <c r="I266" s="267">
        <v>1188</v>
      </c>
      <c r="J266" s="267">
        <v>29143</v>
      </c>
    </row>
    <row r="267" spans="1:10" ht="14.1" customHeight="1" x14ac:dyDescent="0.2">
      <c r="A267" s="278"/>
      <c r="B267" s="278"/>
      <c r="C267" s="278"/>
      <c r="D267" s="261" t="s">
        <v>91</v>
      </c>
      <c r="E267" s="267">
        <v>15</v>
      </c>
      <c r="F267" s="267">
        <v>18108</v>
      </c>
      <c r="G267" s="267">
        <v>271618</v>
      </c>
      <c r="H267" s="267">
        <v>1188</v>
      </c>
      <c r="I267" s="267">
        <v>17818</v>
      </c>
      <c r="J267" s="267">
        <v>253801</v>
      </c>
    </row>
    <row r="268" spans="1:10" ht="14.1" customHeight="1" x14ac:dyDescent="0.2">
      <c r="A268" s="278"/>
      <c r="B268" s="278"/>
      <c r="C268" s="278"/>
      <c r="D268" s="261" t="s">
        <v>97</v>
      </c>
      <c r="E268" s="267">
        <v>22</v>
      </c>
      <c r="F268" s="267">
        <v>11317</v>
      </c>
      <c r="G268" s="267">
        <v>248973</v>
      </c>
      <c r="H268" s="267">
        <v>1188</v>
      </c>
      <c r="I268" s="267">
        <v>26133</v>
      </c>
      <c r="J268" s="267">
        <v>222840</v>
      </c>
    </row>
    <row r="269" spans="1:10" ht="14.1" customHeight="1" x14ac:dyDescent="0.2">
      <c r="A269" s="278"/>
      <c r="B269" s="278"/>
      <c r="C269" s="278"/>
      <c r="D269" s="261" t="s">
        <v>90</v>
      </c>
      <c r="E269" s="267">
        <v>111</v>
      </c>
      <c r="F269" s="267">
        <v>7696</v>
      </c>
      <c r="G269" s="267">
        <v>854208</v>
      </c>
      <c r="H269" s="267">
        <v>1188</v>
      </c>
      <c r="I269" s="267">
        <v>131853</v>
      </c>
      <c r="J269" s="267">
        <v>722355</v>
      </c>
    </row>
    <row r="270" spans="1:10" ht="14.1" customHeight="1" x14ac:dyDescent="0.2">
      <c r="A270" s="278"/>
      <c r="B270" s="278"/>
      <c r="C270" s="278"/>
      <c r="D270" s="261" t="s">
        <v>100</v>
      </c>
      <c r="E270" s="267">
        <v>3</v>
      </c>
      <c r="F270" s="267">
        <v>4981</v>
      </c>
      <c r="G270" s="267">
        <v>14942</v>
      </c>
      <c r="H270" s="267">
        <v>1188</v>
      </c>
      <c r="I270" s="267">
        <v>3564</v>
      </c>
      <c r="J270" s="267">
        <v>11379</v>
      </c>
    </row>
    <row r="271" spans="1:10" ht="14.1" customHeight="1" x14ac:dyDescent="0.2">
      <c r="A271" s="278"/>
      <c r="B271" s="278"/>
      <c r="C271" s="278"/>
      <c r="D271" s="261" t="s">
        <v>98</v>
      </c>
      <c r="E271" s="267">
        <v>2</v>
      </c>
      <c r="F271" s="267">
        <v>2717</v>
      </c>
      <c r="G271" s="267">
        <v>5434</v>
      </c>
      <c r="H271" s="267">
        <v>1188</v>
      </c>
      <c r="I271" s="267">
        <v>2376</v>
      </c>
      <c r="J271" s="267">
        <v>3058</v>
      </c>
    </row>
    <row r="272" spans="1:10" ht="14.1" customHeight="1" x14ac:dyDescent="0.2">
      <c r="A272" s="278"/>
      <c r="B272" s="278"/>
      <c r="C272" s="278"/>
      <c r="D272" s="261" t="s">
        <v>103</v>
      </c>
      <c r="E272" s="267">
        <v>1</v>
      </c>
      <c r="F272" s="267">
        <v>1359</v>
      </c>
      <c r="G272" s="267">
        <v>1359</v>
      </c>
      <c r="H272" s="267">
        <v>1188</v>
      </c>
      <c r="I272" s="267">
        <v>1188</v>
      </c>
      <c r="J272" s="267">
        <v>171</v>
      </c>
    </row>
    <row r="273" spans="1:10" ht="42.95" customHeight="1" x14ac:dyDescent="0.2">
      <c r="A273" s="278"/>
      <c r="B273" s="278"/>
      <c r="C273" s="277" t="s">
        <v>243</v>
      </c>
      <c r="D273" s="261" t="s">
        <v>86</v>
      </c>
      <c r="E273" s="267">
        <v>24</v>
      </c>
      <c r="F273" s="267">
        <v>19577</v>
      </c>
      <c r="G273" s="267">
        <v>469850</v>
      </c>
      <c r="H273" s="267">
        <v>2657</v>
      </c>
      <c r="I273" s="267">
        <v>63769</v>
      </c>
      <c r="J273" s="267">
        <v>406081</v>
      </c>
    </row>
    <row r="274" spans="1:10" ht="14.1" customHeight="1" x14ac:dyDescent="0.2">
      <c r="A274" s="278"/>
      <c r="B274" s="278"/>
      <c r="C274" s="278"/>
      <c r="D274" s="261" t="s">
        <v>87</v>
      </c>
      <c r="E274" s="267">
        <v>1</v>
      </c>
      <c r="F274" s="267">
        <v>12786</v>
      </c>
      <c r="G274" s="267">
        <v>12786</v>
      </c>
      <c r="H274" s="267">
        <v>2657</v>
      </c>
      <c r="I274" s="267">
        <v>2657</v>
      </c>
      <c r="J274" s="267">
        <v>10129</v>
      </c>
    </row>
    <row r="275" spans="1:10" ht="14.1" customHeight="1" x14ac:dyDescent="0.2">
      <c r="A275" s="278"/>
      <c r="B275" s="278"/>
      <c r="C275" s="278"/>
      <c r="D275" s="261" t="s">
        <v>84</v>
      </c>
      <c r="E275" s="267">
        <v>39</v>
      </c>
      <c r="F275" s="267">
        <v>9165</v>
      </c>
      <c r="G275" s="267">
        <v>357425</v>
      </c>
      <c r="H275" s="267">
        <v>2657</v>
      </c>
      <c r="I275" s="267">
        <v>103624</v>
      </c>
      <c r="J275" s="267">
        <v>253801</v>
      </c>
    </row>
    <row r="276" spans="1:10" ht="14.1" customHeight="1" x14ac:dyDescent="0.2">
      <c r="A276" s="278"/>
      <c r="B276" s="278"/>
      <c r="C276" s="278"/>
      <c r="D276" s="261" t="s">
        <v>85</v>
      </c>
      <c r="E276" s="267">
        <v>1</v>
      </c>
      <c r="F276" s="267">
        <v>6450</v>
      </c>
      <c r="G276" s="267">
        <v>6450</v>
      </c>
      <c r="H276" s="267">
        <v>2657</v>
      </c>
      <c r="I276" s="267">
        <v>2657</v>
      </c>
      <c r="J276" s="267">
        <v>3793</v>
      </c>
    </row>
    <row r="277" spans="1:10" ht="42.95" customHeight="1" x14ac:dyDescent="0.2">
      <c r="A277" s="278"/>
      <c r="B277" s="278"/>
      <c r="C277" s="277" t="s">
        <v>245</v>
      </c>
      <c r="D277" s="261" t="s">
        <v>102</v>
      </c>
      <c r="E277" s="267">
        <v>13</v>
      </c>
      <c r="F277" s="267">
        <v>97664</v>
      </c>
      <c r="G277" s="267">
        <v>1269629</v>
      </c>
      <c r="H277" s="267">
        <v>1978</v>
      </c>
      <c r="I277" s="267">
        <v>25712</v>
      </c>
      <c r="J277" s="267">
        <v>1243917</v>
      </c>
    </row>
    <row r="278" spans="1:10" ht="14.1" customHeight="1" x14ac:dyDescent="0.2">
      <c r="A278" s="278"/>
      <c r="B278" s="278"/>
      <c r="C278" s="278"/>
      <c r="D278" s="261" t="s">
        <v>118</v>
      </c>
      <c r="E278" s="267">
        <v>1</v>
      </c>
      <c r="F278" s="267">
        <v>51490</v>
      </c>
      <c r="G278" s="267">
        <v>51490</v>
      </c>
      <c r="H278" s="267">
        <v>1978</v>
      </c>
      <c r="I278" s="267">
        <v>1978</v>
      </c>
      <c r="J278" s="267">
        <v>49513</v>
      </c>
    </row>
    <row r="279" spans="1:10" ht="14.1" customHeight="1" x14ac:dyDescent="0.2">
      <c r="A279" s="278"/>
      <c r="B279" s="278"/>
      <c r="C279" s="278"/>
      <c r="D279" s="261" t="s">
        <v>92</v>
      </c>
      <c r="E279" s="267">
        <v>1029</v>
      </c>
      <c r="F279" s="267">
        <v>31120</v>
      </c>
      <c r="G279" s="267">
        <v>32022916</v>
      </c>
      <c r="H279" s="267">
        <v>1978</v>
      </c>
      <c r="I279" s="267">
        <v>2035199</v>
      </c>
      <c r="J279" s="267">
        <v>29987717</v>
      </c>
    </row>
    <row r="280" spans="1:10" ht="14.1" customHeight="1" x14ac:dyDescent="0.2">
      <c r="A280" s="278"/>
      <c r="B280" s="278"/>
      <c r="C280" s="278"/>
      <c r="D280" s="261" t="s">
        <v>86</v>
      </c>
      <c r="E280" s="267">
        <v>3301</v>
      </c>
      <c r="F280" s="267">
        <v>18898</v>
      </c>
      <c r="G280" s="267">
        <v>62381904</v>
      </c>
      <c r="H280" s="267">
        <v>1978</v>
      </c>
      <c r="I280" s="267">
        <v>6528856</v>
      </c>
      <c r="J280" s="267">
        <v>55853047</v>
      </c>
    </row>
    <row r="281" spans="1:10" ht="14.1" customHeight="1" x14ac:dyDescent="0.2">
      <c r="A281" s="278"/>
      <c r="B281" s="278"/>
      <c r="C281" s="278"/>
      <c r="D281" s="261" t="s">
        <v>87</v>
      </c>
      <c r="E281" s="267">
        <v>2530</v>
      </c>
      <c r="F281" s="267">
        <v>12107</v>
      </c>
      <c r="G281" s="267">
        <v>30630549</v>
      </c>
      <c r="H281" s="267">
        <v>1978</v>
      </c>
      <c r="I281" s="267">
        <v>5003940</v>
      </c>
      <c r="J281" s="267">
        <v>25626609</v>
      </c>
    </row>
    <row r="282" spans="1:10" ht="14.1" customHeight="1" x14ac:dyDescent="0.2">
      <c r="A282" s="278"/>
      <c r="B282" s="278"/>
      <c r="C282" s="278"/>
      <c r="D282" s="261" t="s">
        <v>84</v>
      </c>
      <c r="E282" s="267">
        <v>5113</v>
      </c>
      <c r="F282" s="267">
        <v>8486</v>
      </c>
      <c r="G282" s="267">
        <v>43386613</v>
      </c>
      <c r="H282" s="267">
        <v>1978</v>
      </c>
      <c r="I282" s="267">
        <v>10112706</v>
      </c>
      <c r="J282" s="267">
        <v>33273907</v>
      </c>
    </row>
    <row r="283" spans="1:10" ht="14.1" customHeight="1" x14ac:dyDescent="0.2">
      <c r="A283" s="278"/>
      <c r="B283" s="278"/>
      <c r="C283" s="278"/>
      <c r="D283" s="261" t="s">
        <v>85</v>
      </c>
      <c r="E283" s="267">
        <v>594</v>
      </c>
      <c r="F283" s="267">
        <v>5771</v>
      </c>
      <c r="G283" s="267">
        <v>3427803</v>
      </c>
      <c r="H283" s="267">
        <v>1978</v>
      </c>
      <c r="I283" s="267">
        <v>1174838</v>
      </c>
      <c r="J283" s="267">
        <v>2252965</v>
      </c>
    </row>
    <row r="284" spans="1:10" ht="14.1" customHeight="1" x14ac:dyDescent="0.2">
      <c r="A284" s="278"/>
      <c r="B284" s="278"/>
      <c r="C284" s="278"/>
      <c r="D284" s="261" t="s">
        <v>96</v>
      </c>
      <c r="E284" s="267">
        <v>921</v>
      </c>
      <c r="F284" s="267">
        <v>3507</v>
      </c>
      <c r="G284" s="267">
        <v>3229711</v>
      </c>
      <c r="H284" s="267">
        <v>1978</v>
      </c>
      <c r="I284" s="267">
        <v>1821592</v>
      </c>
      <c r="J284" s="267">
        <v>1408118</v>
      </c>
    </row>
    <row r="285" spans="1:10" ht="14.1" customHeight="1" x14ac:dyDescent="0.2">
      <c r="A285" s="278"/>
      <c r="B285" s="278"/>
      <c r="C285" s="278"/>
      <c r="D285" s="261" t="s">
        <v>88</v>
      </c>
      <c r="E285" s="267">
        <v>451</v>
      </c>
      <c r="F285" s="267">
        <v>2149</v>
      </c>
      <c r="G285" s="267">
        <v>969346</v>
      </c>
      <c r="H285" s="267">
        <v>1978</v>
      </c>
      <c r="I285" s="267">
        <v>892007</v>
      </c>
      <c r="J285" s="267">
        <v>77339</v>
      </c>
    </row>
    <row r="286" spans="1:10" ht="14.1" customHeight="1" x14ac:dyDescent="0.2">
      <c r="A286" s="278" t="s">
        <v>108</v>
      </c>
      <c r="B286" s="278" t="s">
        <v>60</v>
      </c>
      <c r="C286" s="278"/>
      <c r="D286" s="278"/>
      <c r="E286" s="267">
        <v>1800</v>
      </c>
      <c r="F286" s="267"/>
      <c r="G286" s="267">
        <v>45496143</v>
      </c>
      <c r="H286" s="267"/>
      <c r="I286" s="267">
        <v>1451312</v>
      </c>
      <c r="J286" s="267">
        <v>44044831</v>
      </c>
    </row>
    <row r="287" spans="1:10" ht="14.1" customHeight="1" x14ac:dyDescent="0.2">
      <c r="A287" s="278"/>
      <c r="B287" s="261" t="s">
        <v>71</v>
      </c>
      <c r="C287" s="261" t="s">
        <v>72</v>
      </c>
      <c r="D287" s="261" t="s">
        <v>73</v>
      </c>
      <c r="E287" s="284">
        <v>2</v>
      </c>
      <c r="F287" s="284">
        <v>11382</v>
      </c>
      <c r="G287" s="284">
        <v>22765</v>
      </c>
      <c r="H287" s="284">
        <v>0</v>
      </c>
      <c r="I287" s="284">
        <v>0</v>
      </c>
      <c r="J287" s="284">
        <v>22765</v>
      </c>
    </row>
    <row r="288" spans="1:10" ht="14.1" customHeight="1" x14ac:dyDescent="0.2">
      <c r="A288" s="278"/>
      <c r="B288" s="265" t="s">
        <v>74</v>
      </c>
      <c r="C288" s="262" t="s">
        <v>75</v>
      </c>
      <c r="D288" s="261" t="s">
        <v>77</v>
      </c>
      <c r="E288" s="285"/>
      <c r="F288" s="285"/>
      <c r="G288" s="285"/>
      <c r="H288" s="285"/>
      <c r="I288" s="285"/>
      <c r="J288" s="285"/>
    </row>
    <row r="289" spans="1:10" ht="42.95" customHeight="1" x14ac:dyDescent="0.2">
      <c r="A289" s="278"/>
      <c r="B289" s="265" t="s">
        <v>89</v>
      </c>
      <c r="C289" s="263" t="s">
        <v>245</v>
      </c>
      <c r="D289" s="261" t="s">
        <v>90</v>
      </c>
      <c r="E289" s="267">
        <v>2</v>
      </c>
      <c r="F289" s="267">
        <v>7696</v>
      </c>
      <c r="G289" s="267">
        <v>15391</v>
      </c>
      <c r="H289" s="267">
        <v>827</v>
      </c>
      <c r="I289" s="267">
        <v>1654</v>
      </c>
      <c r="J289" s="267">
        <v>13737</v>
      </c>
    </row>
    <row r="290" spans="1:10" ht="42.95" customHeight="1" x14ac:dyDescent="0.2">
      <c r="A290" s="278"/>
      <c r="B290" s="277" t="s">
        <v>246</v>
      </c>
      <c r="C290" s="280" t="s">
        <v>75</v>
      </c>
      <c r="D290" s="261" t="s">
        <v>91</v>
      </c>
      <c r="E290" s="267">
        <v>1</v>
      </c>
      <c r="F290" s="267">
        <v>18108</v>
      </c>
      <c r="G290" s="267">
        <v>18108</v>
      </c>
      <c r="H290" s="267">
        <v>0</v>
      </c>
      <c r="I290" s="267">
        <v>0</v>
      </c>
      <c r="J290" s="267">
        <v>18108</v>
      </c>
    </row>
    <row r="291" spans="1:10" ht="14.1" customHeight="1" x14ac:dyDescent="0.2">
      <c r="A291" s="278"/>
      <c r="B291" s="278"/>
      <c r="C291" s="278"/>
      <c r="D291" s="261" t="s">
        <v>97</v>
      </c>
      <c r="E291" s="267">
        <v>1</v>
      </c>
      <c r="F291" s="267">
        <v>11317</v>
      </c>
      <c r="G291" s="267">
        <v>11317</v>
      </c>
      <c r="H291" s="267">
        <v>0</v>
      </c>
      <c r="I291" s="267">
        <v>0</v>
      </c>
      <c r="J291" s="267">
        <v>11317</v>
      </c>
    </row>
    <row r="292" spans="1:10" ht="14.1" customHeight="1" x14ac:dyDescent="0.2">
      <c r="A292" s="278"/>
      <c r="B292" s="278"/>
      <c r="C292" s="278"/>
      <c r="D292" s="261" t="s">
        <v>98</v>
      </c>
      <c r="E292" s="267">
        <v>1</v>
      </c>
      <c r="F292" s="267">
        <v>2717</v>
      </c>
      <c r="G292" s="267">
        <v>2717</v>
      </c>
      <c r="H292" s="267">
        <v>0</v>
      </c>
      <c r="I292" s="267">
        <v>0</v>
      </c>
      <c r="J292" s="267">
        <v>2717</v>
      </c>
    </row>
    <row r="293" spans="1:10" ht="14.1" customHeight="1" x14ac:dyDescent="0.2">
      <c r="A293" s="278"/>
      <c r="B293" s="278"/>
      <c r="C293" s="278"/>
      <c r="D293" s="261" t="s">
        <v>76</v>
      </c>
      <c r="E293" s="267">
        <v>2</v>
      </c>
      <c r="F293" s="267">
        <v>36385</v>
      </c>
      <c r="G293" s="267">
        <v>72771</v>
      </c>
      <c r="H293" s="267">
        <v>0</v>
      </c>
      <c r="I293" s="267">
        <v>0</v>
      </c>
      <c r="J293" s="267">
        <v>72771</v>
      </c>
    </row>
    <row r="294" spans="1:10" ht="42.95" customHeight="1" x14ac:dyDescent="0.2">
      <c r="A294" s="278"/>
      <c r="B294" s="278"/>
      <c r="C294" s="277" t="s">
        <v>243</v>
      </c>
      <c r="D294" s="261" t="s">
        <v>86</v>
      </c>
      <c r="E294" s="267">
        <v>1</v>
      </c>
      <c r="F294" s="267">
        <v>19577</v>
      </c>
      <c r="G294" s="267">
        <v>19577</v>
      </c>
      <c r="H294" s="267">
        <v>1469</v>
      </c>
      <c r="I294" s="267">
        <v>1469</v>
      </c>
      <c r="J294" s="267">
        <v>18108</v>
      </c>
    </row>
    <row r="295" spans="1:10" ht="14.1" customHeight="1" x14ac:dyDescent="0.2">
      <c r="A295" s="278"/>
      <c r="B295" s="278"/>
      <c r="C295" s="278"/>
      <c r="D295" s="261" t="s">
        <v>78</v>
      </c>
      <c r="E295" s="267">
        <v>5</v>
      </c>
      <c r="F295" s="267">
        <v>37855</v>
      </c>
      <c r="G295" s="267">
        <v>189273</v>
      </c>
      <c r="H295" s="267">
        <v>1469</v>
      </c>
      <c r="I295" s="267">
        <v>7346</v>
      </c>
      <c r="J295" s="267">
        <v>181927</v>
      </c>
    </row>
    <row r="296" spans="1:10" ht="14.1" customHeight="1" x14ac:dyDescent="0.2">
      <c r="A296" s="278"/>
      <c r="B296" s="278"/>
      <c r="C296" s="278"/>
      <c r="D296" s="261" t="s">
        <v>153</v>
      </c>
      <c r="E296" s="267">
        <v>2</v>
      </c>
      <c r="F296" s="267">
        <v>5831</v>
      </c>
      <c r="G296" s="267">
        <v>11663</v>
      </c>
      <c r="H296" s="267">
        <v>1469</v>
      </c>
      <c r="I296" s="267">
        <v>2938</v>
      </c>
      <c r="J296" s="267">
        <v>8724</v>
      </c>
    </row>
    <row r="297" spans="1:10" ht="42.95" customHeight="1" x14ac:dyDescent="0.2">
      <c r="A297" s="278"/>
      <c r="B297" s="278"/>
      <c r="C297" s="277" t="s">
        <v>244</v>
      </c>
      <c r="D297" s="261" t="s">
        <v>92</v>
      </c>
      <c r="E297" s="267">
        <v>2</v>
      </c>
      <c r="F297" s="267">
        <v>31572</v>
      </c>
      <c r="G297" s="267">
        <v>63145</v>
      </c>
      <c r="H297" s="267">
        <v>1242</v>
      </c>
      <c r="I297" s="267">
        <v>2484</v>
      </c>
      <c r="J297" s="267">
        <v>60661</v>
      </c>
    </row>
    <row r="298" spans="1:10" ht="14.1" customHeight="1" x14ac:dyDescent="0.2">
      <c r="A298" s="278"/>
      <c r="B298" s="278"/>
      <c r="C298" s="278"/>
      <c r="D298" s="261" t="s">
        <v>86</v>
      </c>
      <c r="E298" s="267">
        <v>52</v>
      </c>
      <c r="F298" s="267">
        <v>19219</v>
      </c>
      <c r="G298" s="267">
        <v>999408</v>
      </c>
      <c r="H298" s="267">
        <v>1242</v>
      </c>
      <c r="I298" s="267">
        <v>64574</v>
      </c>
      <c r="J298" s="267">
        <v>934833</v>
      </c>
    </row>
    <row r="299" spans="1:10" ht="14.1" customHeight="1" x14ac:dyDescent="0.2">
      <c r="A299" s="278"/>
      <c r="B299" s="278"/>
      <c r="C299" s="278"/>
      <c r="D299" s="261" t="s">
        <v>84</v>
      </c>
      <c r="E299" s="267">
        <v>11</v>
      </c>
      <c r="F299" s="267">
        <v>8937</v>
      </c>
      <c r="G299" s="267">
        <v>98311</v>
      </c>
      <c r="H299" s="267">
        <v>1242</v>
      </c>
      <c r="I299" s="267">
        <v>13660</v>
      </c>
      <c r="J299" s="267">
        <v>84651</v>
      </c>
    </row>
    <row r="300" spans="1:10" ht="42.95" customHeight="1" x14ac:dyDescent="0.2">
      <c r="A300" s="278"/>
      <c r="B300" s="278"/>
      <c r="C300" s="277" t="s">
        <v>245</v>
      </c>
      <c r="D300" s="261" t="s">
        <v>92</v>
      </c>
      <c r="E300" s="267">
        <v>589</v>
      </c>
      <c r="F300" s="267">
        <v>31120</v>
      </c>
      <c r="G300" s="267">
        <v>18329930</v>
      </c>
      <c r="H300" s="267">
        <v>790</v>
      </c>
      <c r="I300" s="267">
        <v>465299</v>
      </c>
      <c r="J300" s="267">
        <v>17864631</v>
      </c>
    </row>
    <row r="301" spans="1:10" ht="14.1" customHeight="1" x14ac:dyDescent="0.2">
      <c r="A301" s="278"/>
      <c r="B301" s="278"/>
      <c r="C301" s="278"/>
      <c r="D301" s="261" t="s">
        <v>86</v>
      </c>
      <c r="E301" s="267">
        <v>351</v>
      </c>
      <c r="F301" s="267">
        <v>18898</v>
      </c>
      <c r="G301" s="267">
        <v>6633156</v>
      </c>
      <c r="H301" s="267">
        <v>790</v>
      </c>
      <c r="I301" s="267">
        <v>277283</v>
      </c>
      <c r="J301" s="267">
        <v>6355873</v>
      </c>
    </row>
    <row r="302" spans="1:10" ht="14.1" customHeight="1" x14ac:dyDescent="0.2">
      <c r="A302" s="278"/>
      <c r="B302" s="278"/>
      <c r="C302" s="278"/>
      <c r="D302" s="261" t="s">
        <v>87</v>
      </c>
      <c r="E302" s="267">
        <v>160</v>
      </c>
      <c r="F302" s="267">
        <v>12107</v>
      </c>
      <c r="G302" s="267">
        <v>1937110</v>
      </c>
      <c r="H302" s="267">
        <v>790</v>
      </c>
      <c r="I302" s="267">
        <v>126397</v>
      </c>
      <c r="J302" s="267">
        <v>1810713</v>
      </c>
    </row>
    <row r="303" spans="1:10" ht="14.1" customHeight="1" x14ac:dyDescent="0.2">
      <c r="A303" s="278"/>
      <c r="B303" s="278"/>
      <c r="C303" s="278"/>
      <c r="D303" s="261" t="s">
        <v>84</v>
      </c>
      <c r="E303" s="267">
        <v>40</v>
      </c>
      <c r="F303" s="267">
        <v>8486</v>
      </c>
      <c r="G303" s="267">
        <v>339422</v>
      </c>
      <c r="H303" s="267">
        <v>790</v>
      </c>
      <c r="I303" s="267">
        <v>31599</v>
      </c>
      <c r="J303" s="267">
        <v>307823</v>
      </c>
    </row>
    <row r="304" spans="1:10" ht="14.1" customHeight="1" x14ac:dyDescent="0.2">
      <c r="A304" s="278"/>
      <c r="B304" s="278"/>
      <c r="C304" s="278"/>
      <c r="D304" s="261" t="s">
        <v>96</v>
      </c>
      <c r="E304" s="267">
        <v>1</v>
      </c>
      <c r="F304" s="267">
        <v>3507</v>
      </c>
      <c r="G304" s="267">
        <v>3507</v>
      </c>
      <c r="H304" s="267">
        <v>790</v>
      </c>
      <c r="I304" s="267">
        <v>790</v>
      </c>
      <c r="J304" s="267">
        <v>2717</v>
      </c>
    </row>
    <row r="305" spans="1:10" ht="14.1" customHeight="1" x14ac:dyDescent="0.2">
      <c r="A305" s="278"/>
      <c r="B305" s="278"/>
      <c r="C305" s="278"/>
      <c r="D305" s="261" t="s">
        <v>78</v>
      </c>
      <c r="E305" s="267">
        <v>424</v>
      </c>
      <c r="F305" s="267">
        <v>37175</v>
      </c>
      <c r="G305" s="267">
        <v>15762343</v>
      </c>
      <c r="H305" s="267">
        <v>790</v>
      </c>
      <c r="I305" s="267">
        <v>334952</v>
      </c>
      <c r="J305" s="267">
        <v>15427391</v>
      </c>
    </row>
    <row r="306" spans="1:10" ht="14.1" customHeight="1" x14ac:dyDescent="0.2">
      <c r="A306" s="278"/>
      <c r="B306" s="278"/>
      <c r="C306" s="278"/>
      <c r="D306" s="261" t="s">
        <v>153</v>
      </c>
      <c r="E306" s="267">
        <v>25</v>
      </c>
      <c r="F306" s="267">
        <v>5152</v>
      </c>
      <c r="G306" s="267">
        <v>128805</v>
      </c>
      <c r="H306" s="267">
        <v>790</v>
      </c>
      <c r="I306" s="267">
        <v>19750</v>
      </c>
      <c r="J306" s="267">
        <v>109056</v>
      </c>
    </row>
    <row r="307" spans="1:10" ht="14.1" customHeight="1" x14ac:dyDescent="0.2">
      <c r="A307" s="278"/>
      <c r="B307" s="278"/>
      <c r="C307" s="278"/>
      <c r="D307" s="261" t="s">
        <v>154</v>
      </c>
      <c r="E307" s="267">
        <v>128</v>
      </c>
      <c r="F307" s="267">
        <v>6542</v>
      </c>
      <c r="G307" s="267">
        <v>837426</v>
      </c>
      <c r="H307" s="267">
        <v>790</v>
      </c>
      <c r="I307" s="267">
        <v>101118</v>
      </c>
      <c r="J307" s="267">
        <v>736308</v>
      </c>
    </row>
    <row r="308" spans="1:10" ht="29.1" customHeight="1" x14ac:dyDescent="0.2">
      <c r="A308" s="277" t="s">
        <v>249</v>
      </c>
      <c r="B308" s="278" t="s">
        <v>60</v>
      </c>
      <c r="C308" s="278"/>
      <c r="D308" s="278"/>
      <c r="E308" s="267">
        <v>23170</v>
      </c>
      <c r="F308" s="267"/>
      <c r="G308" s="267">
        <v>418086836</v>
      </c>
      <c r="H308" s="267"/>
      <c r="I308" s="267">
        <v>56302109</v>
      </c>
      <c r="J308" s="267">
        <v>361784727</v>
      </c>
    </row>
    <row r="309" spans="1:10" ht="14.1" customHeight="1" x14ac:dyDescent="0.2">
      <c r="A309" s="278"/>
      <c r="B309" s="261" t="s">
        <v>71</v>
      </c>
      <c r="C309" s="261" t="s">
        <v>72</v>
      </c>
      <c r="D309" s="261" t="s">
        <v>73</v>
      </c>
      <c r="E309" s="284">
        <v>3</v>
      </c>
      <c r="F309" s="284">
        <v>11382</v>
      </c>
      <c r="G309" s="284">
        <v>34147</v>
      </c>
      <c r="H309" s="284">
        <v>0</v>
      </c>
      <c r="I309" s="284">
        <v>0</v>
      </c>
      <c r="J309" s="284">
        <v>34147</v>
      </c>
    </row>
    <row r="310" spans="1:10" ht="14.1" customHeight="1" x14ac:dyDescent="0.2">
      <c r="A310" s="278"/>
      <c r="B310" s="279" t="s">
        <v>74</v>
      </c>
      <c r="C310" s="262" t="s">
        <v>75</v>
      </c>
      <c r="D310" s="261" t="s">
        <v>77</v>
      </c>
      <c r="E310" s="285"/>
      <c r="F310" s="285"/>
      <c r="G310" s="285"/>
      <c r="H310" s="285"/>
      <c r="I310" s="285"/>
      <c r="J310" s="285"/>
    </row>
    <row r="311" spans="1:10" ht="42.95" customHeight="1" x14ac:dyDescent="0.2">
      <c r="A311" s="278"/>
      <c r="B311" s="278"/>
      <c r="C311" s="263" t="s">
        <v>243</v>
      </c>
      <c r="D311" s="261" t="s">
        <v>79</v>
      </c>
      <c r="E311" s="267">
        <v>33</v>
      </c>
      <c r="F311" s="267">
        <v>12852</v>
      </c>
      <c r="G311" s="267">
        <v>424104</v>
      </c>
      <c r="H311" s="267">
        <v>2657</v>
      </c>
      <c r="I311" s="267">
        <v>87682</v>
      </c>
      <c r="J311" s="267">
        <v>336422</v>
      </c>
    </row>
    <row r="312" spans="1:10" ht="42.95" customHeight="1" x14ac:dyDescent="0.2">
      <c r="A312" s="278"/>
      <c r="B312" s="278"/>
      <c r="C312" s="263" t="s">
        <v>245</v>
      </c>
      <c r="D312" s="261" t="s">
        <v>79</v>
      </c>
      <c r="E312" s="267">
        <v>1656</v>
      </c>
      <c r="F312" s="267">
        <v>12172</v>
      </c>
      <c r="G312" s="267">
        <v>20157572</v>
      </c>
      <c r="H312" s="267">
        <v>1978</v>
      </c>
      <c r="I312" s="267">
        <v>3275306</v>
      </c>
      <c r="J312" s="267">
        <v>16882266</v>
      </c>
    </row>
    <row r="313" spans="1:10" ht="42.95" customHeight="1" x14ac:dyDescent="0.2">
      <c r="A313" s="278"/>
      <c r="B313" s="279" t="s">
        <v>89</v>
      </c>
      <c r="C313" s="277" t="s">
        <v>245</v>
      </c>
      <c r="D313" s="261" t="s">
        <v>84</v>
      </c>
      <c r="E313" s="267">
        <v>1</v>
      </c>
      <c r="F313" s="267">
        <v>8486</v>
      </c>
      <c r="G313" s="267">
        <v>8486</v>
      </c>
      <c r="H313" s="267">
        <v>1617</v>
      </c>
      <c r="I313" s="267">
        <v>1617</v>
      </c>
      <c r="J313" s="267">
        <v>6869</v>
      </c>
    </row>
    <row r="314" spans="1:10" ht="14.1" customHeight="1" x14ac:dyDescent="0.2">
      <c r="A314" s="278"/>
      <c r="B314" s="278"/>
      <c r="C314" s="278"/>
      <c r="D314" s="261" t="s">
        <v>90</v>
      </c>
      <c r="E314" s="267">
        <v>2</v>
      </c>
      <c r="F314" s="267">
        <v>7696</v>
      </c>
      <c r="G314" s="267">
        <v>15391</v>
      </c>
      <c r="H314" s="267">
        <v>827</v>
      </c>
      <c r="I314" s="267">
        <v>1654</v>
      </c>
      <c r="J314" s="267">
        <v>13737</v>
      </c>
    </row>
    <row r="315" spans="1:10" ht="14.1" customHeight="1" x14ac:dyDescent="0.2">
      <c r="A315" s="278"/>
      <c r="B315" s="279" t="s">
        <v>80</v>
      </c>
      <c r="C315" s="280" t="s">
        <v>75</v>
      </c>
      <c r="D315" s="261" t="s">
        <v>81</v>
      </c>
      <c r="E315" s="267">
        <v>840</v>
      </c>
      <c r="F315" s="267">
        <v>22977</v>
      </c>
      <c r="G315" s="267">
        <v>19300410</v>
      </c>
      <c r="H315" s="267">
        <v>3812</v>
      </c>
      <c r="I315" s="267">
        <v>3201716</v>
      </c>
      <c r="J315" s="267">
        <v>16098694</v>
      </c>
    </row>
    <row r="316" spans="1:10" ht="14.1" customHeight="1" x14ac:dyDescent="0.2">
      <c r="A316" s="278"/>
      <c r="B316" s="278"/>
      <c r="C316" s="278"/>
      <c r="D316" s="261" t="s">
        <v>82</v>
      </c>
      <c r="E316" s="267">
        <v>7563</v>
      </c>
      <c r="F316" s="267">
        <v>19789</v>
      </c>
      <c r="G316" s="267">
        <v>149665562</v>
      </c>
      <c r="H316" s="267">
        <v>3812</v>
      </c>
      <c r="I316" s="267">
        <v>28826882</v>
      </c>
      <c r="J316" s="267">
        <v>120838679</v>
      </c>
    </row>
    <row r="317" spans="1:10" ht="42.95" customHeight="1" x14ac:dyDescent="0.2">
      <c r="A317" s="278"/>
      <c r="B317" s="277" t="s">
        <v>246</v>
      </c>
      <c r="C317" s="280" t="s">
        <v>75</v>
      </c>
      <c r="D317" s="261" t="s">
        <v>99</v>
      </c>
      <c r="E317" s="267">
        <v>1</v>
      </c>
      <c r="F317" s="267">
        <v>30330</v>
      </c>
      <c r="G317" s="267">
        <v>30330</v>
      </c>
      <c r="H317" s="267">
        <v>0</v>
      </c>
      <c r="I317" s="267">
        <v>0</v>
      </c>
      <c r="J317" s="267">
        <v>30330</v>
      </c>
    </row>
    <row r="318" spans="1:10" ht="14.1" customHeight="1" x14ac:dyDescent="0.2">
      <c r="A318" s="278"/>
      <c r="B318" s="278"/>
      <c r="C318" s="278"/>
      <c r="D318" s="261" t="s">
        <v>91</v>
      </c>
      <c r="E318" s="267">
        <v>9</v>
      </c>
      <c r="F318" s="267">
        <v>18108</v>
      </c>
      <c r="G318" s="267">
        <v>162971</v>
      </c>
      <c r="H318" s="267">
        <v>0</v>
      </c>
      <c r="I318" s="267">
        <v>0</v>
      </c>
      <c r="J318" s="267">
        <v>162971</v>
      </c>
    </row>
    <row r="319" spans="1:10" ht="14.1" customHeight="1" x14ac:dyDescent="0.2">
      <c r="A319" s="278"/>
      <c r="B319" s="278"/>
      <c r="C319" s="278"/>
      <c r="D319" s="261" t="s">
        <v>97</v>
      </c>
      <c r="E319" s="267">
        <v>16</v>
      </c>
      <c r="F319" s="267">
        <v>11317</v>
      </c>
      <c r="G319" s="267">
        <v>181071</v>
      </c>
      <c r="H319" s="267">
        <v>0</v>
      </c>
      <c r="I319" s="267">
        <v>0</v>
      </c>
      <c r="J319" s="267">
        <v>181071</v>
      </c>
    </row>
    <row r="320" spans="1:10" ht="14.1" customHeight="1" x14ac:dyDescent="0.2">
      <c r="A320" s="278"/>
      <c r="B320" s="278"/>
      <c r="C320" s="278"/>
      <c r="D320" s="261" t="s">
        <v>90</v>
      </c>
      <c r="E320" s="267">
        <v>3</v>
      </c>
      <c r="F320" s="267">
        <v>7696</v>
      </c>
      <c r="G320" s="267">
        <v>23087</v>
      </c>
      <c r="H320" s="267">
        <v>0</v>
      </c>
      <c r="I320" s="267">
        <v>0</v>
      </c>
      <c r="J320" s="267">
        <v>23087</v>
      </c>
    </row>
    <row r="321" spans="1:10" ht="14.1" customHeight="1" x14ac:dyDescent="0.2">
      <c r="A321" s="278"/>
      <c r="B321" s="278"/>
      <c r="C321" s="278"/>
      <c r="D321" s="261" t="s">
        <v>100</v>
      </c>
      <c r="E321" s="267">
        <v>2</v>
      </c>
      <c r="F321" s="267">
        <v>4981</v>
      </c>
      <c r="G321" s="267">
        <v>9961</v>
      </c>
      <c r="H321" s="267">
        <v>0</v>
      </c>
      <c r="I321" s="267">
        <v>0</v>
      </c>
      <c r="J321" s="267">
        <v>9961</v>
      </c>
    </row>
    <row r="322" spans="1:10" ht="14.1" customHeight="1" x14ac:dyDescent="0.2">
      <c r="A322" s="278"/>
      <c r="B322" s="278"/>
      <c r="C322" s="278"/>
      <c r="D322" s="261" t="s">
        <v>98</v>
      </c>
      <c r="E322" s="267">
        <v>1</v>
      </c>
      <c r="F322" s="267">
        <v>2717</v>
      </c>
      <c r="G322" s="267">
        <v>2717</v>
      </c>
      <c r="H322" s="267">
        <v>0</v>
      </c>
      <c r="I322" s="267">
        <v>0</v>
      </c>
      <c r="J322" s="267">
        <v>2717</v>
      </c>
    </row>
    <row r="323" spans="1:10" ht="14.1" customHeight="1" x14ac:dyDescent="0.2">
      <c r="A323" s="278"/>
      <c r="B323" s="278"/>
      <c r="C323" s="278"/>
      <c r="D323" s="261" t="s">
        <v>76</v>
      </c>
      <c r="E323" s="267">
        <v>5</v>
      </c>
      <c r="F323" s="267">
        <v>36385</v>
      </c>
      <c r="G323" s="267">
        <v>181927</v>
      </c>
      <c r="H323" s="267">
        <v>0</v>
      </c>
      <c r="I323" s="267">
        <v>0</v>
      </c>
      <c r="J323" s="267">
        <v>181927</v>
      </c>
    </row>
    <row r="324" spans="1:10" ht="42.95" customHeight="1" x14ac:dyDescent="0.2">
      <c r="A324" s="278"/>
      <c r="B324" s="278"/>
      <c r="C324" s="277" t="s">
        <v>243</v>
      </c>
      <c r="D324" s="261" t="s">
        <v>83</v>
      </c>
      <c r="E324" s="267">
        <v>2</v>
      </c>
      <c r="F324" s="267">
        <v>3452</v>
      </c>
      <c r="G324" s="267">
        <v>6904</v>
      </c>
      <c r="H324" s="267">
        <v>1469</v>
      </c>
      <c r="I324" s="267">
        <v>2938</v>
      </c>
      <c r="J324" s="267">
        <v>3965</v>
      </c>
    </row>
    <row r="325" spans="1:10" ht="14.1" customHeight="1" x14ac:dyDescent="0.2">
      <c r="A325" s="278"/>
      <c r="B325" s="278"/>
      <c r="C325" s="278"/>
      <c r="D325" s="261" t="s">
        <v>86</v>
      </c>
      <c r="E325" s="267">
        <v>1</v>
      </c>
      <c r="F325" s="267">
        <v>19577</v>
      </c>
      <c r="G325" s="267">
        <v>19577</v>
      </c>
      <c r="H325" s="267">
        <v>1469</v>
      </c>
      <c r="I325" s="267">
        <v>1469</v>
      </c>
      <c r="J325" s="267">
        <v>18108</v>
      </c>
    </row>
    <row r="326" spans="1:10" ht="14.1" customHeight="1" x14ac:dyDescent="0.2">
      <c r="A326" s="278"/>
      <c r="B326" s="278"/>
      <c r="C326" s="278"/>
      <c r="D326" s="261" t="s">
        <v>84</v>
      </c>
      <c r="E326" s="267">
        <v>3</v>
      </c>
      <c r="F326" s="267">
        <v>9165</v>
      </c>
      <c r="G326" s="267">
        <v>27494</v>
      </c>
      <c r="H326" s="267">
        <v>1469</v>
      </c>
      <c r="I326" s="267">
        <v>4408</v>
      </c>
      <c r="J326" s="267">
        <v>23087</v>
      </c>
    </row>
    <row r="327" spans="1:10" ht="14.1" customHeight="1" x14ac:dyDescent="0.2">
      <c r="A327" s="278"/>
      <c r="B327" s="278"/>
      <c r="C327" s="278"/>
      <c r="D327" s="261" t="s">
        <v>78</v>
      </c>
      <c r="E327" s="267">
        <v>13</v>
      </c>
      <c r="F327" s="267">
        <v>37855</v>
      </c>
      <c r="G327" s="267">
        <v>492109</v>
      </c>
      <c r="H327" s="267">
        <v>1469</v>
      </c>
      <c r="I327" s="267">
        <v>19099</v>
      </c>
      <c r="J327" s="267">
        <v>473010</v>
      </c>
    </row>
    <row r="328" spans="1:10" ht="42.95" customHeight="1" x14ac:dyDescent="0.2">
      <c r="A328" s="278"/>
      <c r="B328" s="278"/>
      <c r="C328" s="277" t="s">
        <v>244</v>
      </c>
      <c r="D328" s="261" t="s">
        <v>92</v>
      </c>
      <c r="E328" s="267">
        <v>1</v>
      </c>
      <c r="F328" s="267">
        <v>31572</v>
      </c>
      <c r="G328" s="267">
        <v>31572</v>
      </c>
      <c r="H328" s="267">
        <v>1242</v>
      </c>
      <c r="I328" s="267">
        <v>1242</v>
      </c>
      <c r="J328" s="267">
        <v>30330</v>
      </c>
    </row>
    <row r="329" spans="1:10" ht="14.1" customHeight="1" x14ac:dyDescent="0.2">
      <c r="A329" s="278"/>
      <c r="B329" s="278"/>
      <c r="C329" s="278"/>
      <c r="D329" s="261" t="s">
        <v>86</v>
      </c>
      <c r="E329" s="267">
        <v>18</v>
      </c>
      <c r="F329" s="267">
        <v>19325</v>
      </c>
      <c r="G329" s="267">
        <v>347843</v>
      </c>
      <c r="H329" s="267">
        <v>1242</v>
      </c>
      <c r="I329" s="267">
        <v>22353</v>
      </c>
      <c r="J329" s="267">
        <v>325490</v>
      </c>
    </row>
    <row r="330" spans="1:10" ht="14.1" customHeight="1" x14ac:dyDescent="0.2">
      <c r="A330" s="278"/>
      <c r="B330" s="278"/>
      <c r="C330" s="278"/>
      <c r="D330" s="261" t="s">
        <v>84</v>
      </c>
      <c r="E330" s="267">
        <v>44</v>
      </c>
      <c r="F330" s="267">
        <v>8640</v>
      </c>
      <c r="G330" s="267">
        <v>380142</v>
      </c>
      <c r="H330" s="267">
        <v>1242</v>
      </c>
      <c r="I330" s="267">
        <v>54640</v>
      </c>
      <c r="J330" s="267">
        <v>325502</v>
      </c>
    </row>
    <row r="331" spans="1:10" ht="42.95" customHeight="1" x14ac:dyDescent="0.2">
      <c r="A331" s="278"/>
      <c r="B331" s="278"/>
      <c r="C331" s="277" t="s">
        <v>245</v>
      </c>
      <c r="D331" s="261" t="s">
        <v>83</v>
      </c>
      <c r="E331" s="267">
        <v>1</v>
      </c>
      <c r="F331" s="267">
        <v>2773</v>
      </c>
      <c r="G331" s="267">
        <v>2773</v>
      </c>
      <c r="H331" s="267">
        <v>790</v>
      </c>
      <c r="I331" s="267">
        <v>790</v>
      </c>
      <c r="J331" s="267">
        <v>1983</v>
      </c>
    </row>
    <row r="332" spans="1:10" ht="14.1" customHeight="1" x14ac:dyDescent="0.2">
      <c r="A332" s="278"/>
      <c r="B332" s="278"/>
      <c r="C332" s="278"/>
      <c r="D332" s="261" t="s">
        <v>92</v>
      </c>
      <c r="E332" s="267">
        <v>410</v>
      </c>
      <c r="F332" s="267">
        <v>31120</v>
      </c>
      <c r="G332" s="267">
        <v>12759374</v>
      </c>
      <c r="H332" s="267">
        <v>790</v>
      </c>
      <c r="I332" s="267">
        <v>323892</v>
      </c>
      <c r="J332" s="267">
        <v>12435482</v>
      </c>
    </row>
    <row r="333" spans="1:10" ht="14.1" customHeight="1" x14ac:dyDescent="0.2">
      <c r="A333" s="278"/>
      <c r="B333" s="278"/>
      <c r="C333" s="278"/>
      <c r="D333" s="261" t="s">
        <v>86</v>
      </c>
      <c r="E333" s="267">
        <v>997</v>
      </c>
      <c r="F333" s="267">
        <v>18898</v>
      </c>
      <c r="G333" s="267">
        <v>18841187</v>
      </c>
      <c r="H333" s="267">
        <v>790</v>
      </c>
      <c r="I333" s="267">
        <v>787611</v>
      </c>
      <c r="J333" s="267">
        <v>18053576</v>
      </c>
    </row>
    <row r="334" spans="1:10" ht="14.1" customHeight="1" x14ac:dyDescent="0.2">
      <c r="A334" s="278"/>
      <c r="B334" s="278"/>
      <c r="C334" s="278"/>
      <c r="D334" s="261" t="s">
        <v>87</v>
      </c>
      <c r="E334" s="267">
        <v>82</v>
      </c>
      <c r="F334" s="267">
        <v>12107</v>
      </c>
      <c r="G334" s="267">
        <v>992769</v>
      </c>
      <c r="H334" s="267">
        <v>790</v>
      </c>
      <c r="I334" s="267">
        <v>64778</v>
      </c>
      <c r="J334" s="267">
        <v>927990</v>
      </c>
    </row>
    <row r="335" spans="1:10" ht="14.1" customHeight="1" x14ac:dyDescent="0.2">
      <c r="A335" s="278"/>
      <c r="B335" s="278"/>
      <c r="C335" s="278"/>
      <c r="D335" s="261" t="s">
        <v>84</v>
      </c>
      <c r="E335" s="267">
        <v>355</v>
      </c>
      <c r="F335" s="267">
        <v>8486</v>
      </c>
      <c r="G335" s="267">
        <v>3012370</v>
      </c>
      <c r="H335" s="267">
        <v>790</v>
      </c>
      <c r="I335" s="267">
        <v>280443</v>
      </c>
      <c r="J335" s="267">
        <v>2731927</v>
      </c>
    </row>
    <row r="336" spans="1:10" ht="14.1" customHeight="1" x14ac:dyDescent="0.2">
      <c r="A336" s="278"/>
      <c r="B336" s="278"/>
      <c r="C336" s="278"/>
      <c r="D336" s="261" t="s">
        <v>96</v>
      </c>
      <c r="E336" s="267">
        <v>3</v>
      </c>
      <c r="F336" s="267">
        <v>3507</v>
      </c>
      <c r="G336" s="267">
        <v>10520</v>
      </c>
      <c r="H336" s="267">
        <v>790</v>
      </c>
      <c r="I336" s="267">
        <v>2370</v>
      </c>
      <c r="J336" s="267">
        <v>8150</v>
      </c>
    </row>
    <row r="337" spans="1:10" ht="14.1" customHeight="1" x14ac:dyDescent="0.2">
      <c r="A337" s="278"/>
      <c r="B337" s="278"/>
      <c r="C337" s="278"/>
      <c r="D337" s="261" t="s">
        <v>78</v>
      </c>
      <c r="E337" s="267">
        <v>2213</v>
      </c>
      <c r="F337" s="267">
        <v>37175</v>
      </c>
      <c r="G337" s="267">
        <v>82269021</v>
      </c>
      <c r="H337" s="267">
        <v>790</v>
      </c>
      <c r="I337" s="267">
        <v>1748227</v>
      </c>
      <c r="J337" s="267">
        <v>80520794</v>
      </c>
    </row>
    <row r="338" spans="1:10" ht="14.1" customHeight="1" x14ac:dyDescent="0.2">
      <c r="A338" s="278"/>
      <c r="B338" s="278"/>
      <c r="C338" s="278"/>
      <c r="D338" s="261" t="s">
        <v>154</v>
      </c>
      <c r="E338" s="267">
        <v>4</v>
      </c>
      <c r="F338" s="267">
        <v>6542</v>
      </c>
      <c r="G338" s="267">
        <v>26170</v>
      </c>
      <c r="H338" s="267">
        <v>790</v>
      </c>
      <c r="I338" s="267">
        <v>3160</v>
      </c>
      <c r="J338" s="267">
        <v>23010</v>
      </c>
    </row>
    <row r="339" spans="1:10" ht="29.1" customHeight="1" x14ac:dyDescent="0.2">
      <c r="A339" s="278"/>
      <c r="B339" s="277" t="s">
        <v>247</v>
      </c>
      <c r="C339" s="280" t="s">
        <v>75</v>
      </c>
      <c r="D339" s="261" t="s">
        <v>97</v>
      </c>
      <c r="E339" s="267">
        <v>2</v>
      </c>
      <c r="F339" s="267">
        <v>11317</v>
      </c>
      <c r="G339" s="267">
        <v>22634</v>
      </c>
      <c r="H339" s="267">
        <v>1188</v>
      </c>
      <c r="I339" s="267">
        <v>2376</v>
      </c>
      <c r="J339" s="267">
        <v>20258</v>
      </c>
    </row>
    <row r="340" spans="1:10" ht="14.1" customHeight="1" x14ac:dyDescent="0.2">
      <c r="A340" s="278"/>
      <c r="B340" s="278"/>
      <c r="C340" s="278"/>
      <c r="D340" s="261" t="s">
        <v>90</v>
      </c>
      <c r="E340" s="267">
        <v>5</v>
      </c>
      <c r="F340" s="267">
        <v>7696</v>
      </c>
      <c r="G340" s="267">
        <v>38478</v>
      </c>
      <c r="H340" s="267">
        <v>1188</v>
      </c>
      <c r="I340" s="267">
        <v>5939</v>
      </c>
      <c r="J340" s="267">
        <v>32539</v>
      </c>
    </row>
    <row r="341" spans="1:10" ht="42.95" customHeight="1" x14ac:dyDescent="0.2">
      <c r="A341" s="278"/>
      <c r="B341" s="278"/>
      <c r="C341" s="277" t="s">
        <v>243</v>
      </c>
      <c r="D341" s="261" t="s">
        <v>86</v>
      </c>
      <c r="E341" s="267">
        <v>1</v>
      </c>
      <c r="F341" s="267">
        <v>19577</v>
      </c>
      <c r="G341" s="267">
        <v>19577</v>
      </c>
      <c r="H341" s="267">
        <v>2657</v>
      </c>
      <c r="I341" s="267">
        <v>2657</v>
      </c>
      <c r="J341" s="267">
        <v>16920</v>
      </c>
    </row>
    <row r="342" spans="1:10" ht="14.1" customHeight="1" x14ac:dyDescent="0.2">
      <c r="A342" s="278"/>
      <c r="B342" s="278"/>
      <c r="C342" s="278"/>
      <c r="D342" s="261" t="s">
        <v>87</v>
      </c>
      <c r="E342" s="267">
        <v>5</v>
      </c>
      <c r="F342" s="267">
        <v>12786</v>
      </c>
      <c r="G342" s="267">
        <v>63931</v>
      </c>
      <c r="H342" s="267">
        <v>2657</v>
      </c>
      <c r="I342" s="267">
        <v>13285</v>
      </c>
      <c r="J342" s="267">
        <v>50645</v>
      </c>
    </row>
    <row r="343" spans="1:10" ht="14.1" customHeight="1" x14ac:dyDescent="0.2">
      <c r="A343" s="278"/>
      <c r="B343" s="278"/>
      <c r="C343" s="278"/>
      <c r="D343" s="261" t="s">
        <v>84</v>
      </c>
      <c r="E343" s="267">
        <v>18</v>
      </c>
      <c r="F343" s="267">
        <v>9165</v>
      </c>
      <c r="G343" s="267">
        <v>164965</v>
      </c>
      <c r="H343" s="267">
        <v>2657</v>
      </c>
      <c r="I343" s="267">
        <v>47827</v>
      </c>
      <c r="J343" s="267">
        <v>117139</v>
      </c>
    </row>
    <row r="344" spans="1:10" ht="42.95" customHeight="1" x14ac:dyDescent="0.2">
      <c r="A344" s="278"/>
      <c r="B344" s="278"/>
      <c r="C344" s="277" t="s">
        <v>245</v>
      </c>
      <c r="D344" s="261" t="s">
        <v>92</v>
      </c>
      <c r="E344" s="267">
        <v>3</v>
      </c>
      <c r="F344" s="267">
        <v>31120</v>
      </c>
      <c r="G344" s="267">
        <v>93361</v>
      </c>
      <c r="H344" s="267">
        <v>1978</v>
      </c>
      <c r="I344" s="267">
        <v>5934</v>
      </c>
      <c r="J344" s="267">
        <v>87428</v>
      </c>
    </row>
    <row r="345" spans="1:10" ht="14.1" customHeight="1" x14ac:dyDescent="0.2">
      <c r="A345" s="278"/>
      <c r="B345" s="278"/>
      <c r="C345" s="278"/>
      <c r="D345" s="261" t="s">
        <v>86</v>
      </c>
      <c r="E345" s="267">
        <v>1927</v>
      </c>
      <c r="F345" s="267">
        <v>18898</v>
      </c>
      <c r="G345" s="267">
        <v>36416216</v>
      </c>
      <c r="H345" s="267">
        <v>1978</v>
      </c>
      <c r="I345" s="267">
        <v>3811302</v>
      </c>
      <c r="J345" s="267">
        <v>32604914</v>
      </c>
    </row>
    <row r="346" spans="1:10" ht="14.1" customHeight="1" x14ac:dyDescent="0.2">
      <c r="A346" s="278"/>
      <c r="B346" s="278"/>
      <c r="C346" s="278"/>
      <c r="D346" s="261" t="s">
        <v>87</v>
      </c>
      <c r="E346" s="267">
        <v>3770</v>
      </c>
      <c r="F346" s="267">
        <v>12107</v>
      </c>
      <c r="G346" s="267">
        <v>45643150</v>
      </c>
      <c r="H346" s="267">
        <v>1978</v>
      </c>
      <c r="I346" s="267">
        <v>7456464</v>
      </c>
      <c r="J346" s="267">
        <v>38186686</v>
      </c>
    </row>
    <row r="347" spans="1:10" ht="14.1" customHeight="1" x14ac:dyDescent="0.2">
      <c r="A347" s="278"/>
      <c r="B347" s="278"/>
      <c r="C347" s="278"/>
      <c r="D347" s="261" t="s">
        <v>84</v>
      </c>
      <c r="E347" s="267">
        <v>2972</v>
      </c>
      <c r="F347" s="267">
        <v>8486</v>
      </c>
      <c r="G347" s="267">
        <v>25219052</v>
      </c>
      <c r="H347" s="267">
        <v>1978</v>
      </c>
      <c r="I347" s="267">
        <v>5878146</v>
      </c>
      <c r="J347" s="267">
        <v>19340906</v>
      </c>
    </row>
    <row r="348" spans="1:10" ht="14.1" customHeight="1" x14ac:dyDescent="0.2">
      <c r="A348" s="278"/>
      <c r="B348" s="278"/>
      <c r="C348" s="278"/>
      <c r="D348" s="261" t="s">
        <v>85</v>
      </c>
      <c r="E348" s="267">
        <v>163</v>
      </c>
      <c r="F348" s="267">
        <v>5771</v>
      </c>
      <c r="G348" s="267">
        <v>940626</v>
      </c>
      <c r="H348" s="267">
        <v>1978</v>
      </c>
      <c r="I348" s="267">
        <v>322388</v>
      </c>
      <c r="J348" s="267">
        <v>618238</v>
      </c>
    </row>
    <row r="349" spans="1:10" ht="14.1" customHeight="1" x14ac:dyDescent="0.2">
      <c r="A349" s="278"/>
      <c r="B349" s="278"/>
      <c r="C349" s="278"/>
      <c r="D349" s="261" t="s">
        <v>88</v>
      </c>
      <c r="E349" s="267">
        <v>22</v>
      </c>
      <c r="F349" s="267">
        <v>2149</v>
      </c>
      <c r="G349" s="267">
        <v>47285</v>
      </c>
      <c r="H349" s="267">
        <v>1978</v>
      </c>
      <c r="I349" s="267">
        <v>43513</v>
      </c>
      <c r="J349" s="267">
        <v>3773</v>
      </c>
    </row>
    <row r="350" spans="1:10" ht="14.1" customHeight="1" x14ac:dyDescent="0.2">
      <c r="A350" s="278" t="s">
        <v>116</v>
      </c>
      <c r="B350" s="278" t="s">
        <v>60</v>
      </c>
      <c r="C350" s="278"/>
      <c r="D350" s="278"/>
      <c r="E350" s="267">
        <v>649</v>
      </c>
      <c r="F350" s="267"/>
      <c r="G350" s="267">
        <v>11945429</v>
      </c>
      <c r="H350" s="267"/>
      <c r="I350" s="267">
        <v>529620</v>
      </c>
      <c r="J350" s="267">
        <v>11415808</v>
      </c>
    </row>
    <row r="351" spans="1:10" ht="14.1" customHeight="1" x14ac:dyDescent="0.2">
      <c r="A351" s="278"/>
      <c r="B351" s="261" t="s">
        <v>71</v>
      </c>
      <c r="C351" s="261" t="s">
        <v>72</v>
      </c>
      <c r="D351" s="261" t="s">
        <v>73</v>
      </c>
      <c r="E351" s="284">
        <v>17</v>
      </c>
      <c r="F351" s="284">
        <v>12172</v>
      </c>
      <c r="G351" s="284">
        <v>206932</v>
      </c>
      <c r="H351" s="284">
        <v>1978</v>
      </c>
      <c r="I351" s="284">
        <v>33623</v>
      </c>
      <c r="J351" s="284">
        <v>173308</v>
      </c>
    </row>
    <row r="352" spans="1:10" ht="42.95" customHeight="1" x14ac:dyDescent="0.2">
      <c r="A352" s="278"/>
      <c r="B352" s="265" t="s">
        <v>74</v>
      </c>
      <c r="C352" s="263" t="s">
        <v>245</v>
      </c>
      <c r="D352" s="261" t="s">
        <v>79</v>
      </c>
      <c r="E352" s="285"/>
      <c r="F352" s="285"/>
      <c r="G352" s="285"/>
      <c r="H352" s="285"/>
      <c r="I352" s="285"/>
      <c r="J352" s="285"/>
    </row>
    <row r="353" spans="1:10" ht="42.95" customHeight="1" x14ac:dyDescent="0.2">
      <c r="A353" s="278"/>
      <c r="B353" s="277" t="s">
        <v>246</v>
      </c>
      <c r="C353" s="280" t="s">
        <v>75</v>
      </c>
      <c r="D353" s="261" t="s">
        <v>91</v>
      </c>
      <c r="E353" s="267">
        <v>4</v>
      </c>
      <c r="F353" s="267">
        <v>18108</v>
      </c>
      <c r="G353" s="267">
        <v>72432</v>
      </c>
      <c r="H353" s="267">
        <v>0</v>
      </c>
      <c r="I353" s="267">
        <v>0</v>
      </c>
      <c r="J353" s="267">
        <v>72432</v>
      </c>
    </row>
    <row r="354" spans="1:10" ht="14.1" customHeight="1" x14ac:dyDescent="0.2">
      <c r="A354" s="278"/>
      <c r="B354" s="278"/>
      <c r="C354" s="278"/>
      <c r="D354" s="261" t="s">
        <v>90</v>
      </c>
      <c r="E354" s="267">
        <v>1</v>
      </c>
      <c r="F354" s="267">
        <v>7696</v>
      </c>
      <c r="G354" s="267">
        <v>7696</v>
      </c>
      <c r="H354" s="267">
        <v>0</v>
      </c>
      <c r="I354" s="267">
        <v>0</v>
      </c>
      <c r="J354" s="267">
        <v>7696</v>
      </c>
    </row>
    <row r="355" spans="1:10" ht="42.95" customHeight="1" x14ac:dyDescent="0.2">
      <c r="A355" s="278"/>
      <c r="B355" s="278"/>
      <c r="C355" s="263" t="s">
        <v>243</v>
      </c>
      <c r="D355" s="261" t="s">
        <v>86</v>
      </c>
      <c r="E355" s="267">
        <v>1</v>
      </c>
      <c r="F355" s="267">
        <v>19577</v>
      </c>
      <c r="G355" s="267">
        <v>19577</v>
      </c>
      <c r="H355" s="267">
        <v>1469</v>
      </c>
      <c r="I355" s="267">
        <v>1469</v>
      </c>
      <c r="J355" s="267">
        <v>18108</v>
      </c>
    </row>
    <row r="356" spans="1:10" ht="42.95" customHeight="1" x14ac:dyDescent="0.2">
      <c r="A356" s="278"/>
      <c r="B356" s="278"/>
      <c r="C356" s="277" t="s">
        <v>245</v>
      </c>
      <c r="D356" s="261" t="s">
        <v>86</v>
      </c>
      <c r="E356" s="267">
        <v>571</v>
      </c>
      <c r="F356" s="267">
        <v>18898</v>
      </c>
      <c r="G356" s="267">
        <v>10790690</v>
      </c>
      <c r="H356" s="267">
        <v>790</v>
      </c>
      <c r="I356" s="267">
        <v>451079</v>
      </c>
      <c r="J356" s="267">
        <v>10339611</v>
      </c>
    </row>
    <row r="357" spans="1:10" ht="14.1" customHeight="1" x14ac:dyDescent="0.2">
      <c r="A357" s="278"/>
      <c r="B357" s="278"/>
      <c r="C357" s="278"/>
      <c r="D357" s="261" t="s">
        <v>87</v>
      </c>
      <c r="E357" s="267">
        <v>11</v>
      </c>
      <c r="F357" s="267">
        <v>12107</v>
      </c>
      <c r="G357" s="267">
        <v>133176</v>
      </c>
      <c r="H357" s="267">
        <v>790</v>
      </c>
      <c r="I357" s="267">
        <v>8690</v>
      </c>
      <c r="J357" s="267">
        <v>124487</v>
      </c>
    </row>
    <row r="358" spans="1:10" ht="14.1" customHeight="1" x14ac:dyDescent="0.2">
      <c r="A358" s="278"/>
      <c r="B358" s="278"/>
      <c r="C358" s="278"/>
      <c r="D358" s="261" t="s">
        <v>84</v>
      </c>
      <c r="E358" s="267">
        <v>31</v>
      </c>
      <c r="F358" s="267">
        <v>8486</v>
      </c>
      <c r="G358" s="267">
        <v>263052</v>
      </c>
      <c r="H358" s="267">
        <v>790</v>
      </c>
      <c r="I358" s="267">
        <v>24489</v>
      </c>
      <c r="J358" s="267">
        <v>238563</v>
      </c>
    </row>
    <row r="359" spans="1:10" ht="14.1" customHeight="1" x14ac:dyDescent="0.2">
      <c r="A359" s="278"/>
      <c r="B359" s="278"/>
      <c r="C359" s="278"/>
      <c r="D359" s="261" t="s">
        <v>85</v>
      </c>
      <c r="E359" s="267">
        <v>1</v>
      </c>
      <c r="F359" s="267">
        <v>5771</v>
      </c>
      <c r="G359" s="267">
        <v>5771</v>
      </c>
      <c r="H359" s="267">
        <v>790</v>
      </c>
      <c r="I359" s="267">
        <v>790</v>
      </c>
      <c r="J359" s="267">
        <v>4981</v>
      </c>
    </row>
    <row r="360" spans="1:10" ht="14.1" customHeight="1" x14ac:dyDescent="0.2">
      <c r="A360" s="278"/>
      <c r="B360" s="278"/>
      <c r="C360" s="278"/>
      <c r="D360" s="261" t="s">
        <v>78</v>
      </c>
      <c r="E360" s="267">
        <v>12</v>
      </c>
      <c r="F360" s="267">
        <v>37175</v>
      </c>
      <c r="G360" s="267">
        <v>446104</v>
      </c>
      <c r="H360" s="267">
        <v>790</v>
      </c>
      <c r="I360" s="267">
        <v>9480</v>
      </c>
      <c r="J360" s="267">
        <v>436624</v>
      </c>
    </row>
    <row r="361" spans="1:10" ht="14.1" customHeight="1" x14ac:dyDescent="0.2">
      <c r="A361" s="278" t="s">
        <v>6</v>
      </c>
      <c r="B361" s="278" t="s">
        <v>60</v>
      </c>
      <c r="C361" s="278"/>
      <c r="D361" s="278"/>
      <c r="E361" s="267">
        <v>2177</v>
      </c>
      <c r="F361" s="267"/>
      <c r="G361" s="267">
        <v>34958125</v>
      </c>
      <c r="H361" s="267"/>
      <c r="I361" s="267">
        <v>3307851</v>
      </c>
      <c r="J361" s="267">
        <v>31650275</v>
      </c>
    </row>
    <row r="362" spans="1:10" ht="14.1" customHeight="1" x14ac:dyDescent="0.2">
      <c r="A362" s="278"/>
      <c r="B362" s="261" t="s">
        <v>71</v>
      </c>
      <c r="C362" s="261" t="s">
        <v>72</v>
      </c>
      <c r="D362" s="261" t="s">
        <v>73</v>
      </c>
      <c r="E362" s="284">
        <v>222</v>
      </c>
      <c r="F362" s="284">
        <v>12172</v>
      </c>
      <c r="G362" s="284">
        <v>2702283</v>
      </c>
      <c r="H362" s="284">
        <v>1978</v>
      </c>
      <c r="I362" s="284">
        <v>439081</v>
      </c>
      <c r="J362" s="284">
        <v>2263202</v>
      </c>
    </row>
    <row r="363" spans="1:10" ht="42.95" customHeight="1" x14ac:dyDescent="0.2">
      <c r="A363" s="278"/>
      <c r="B363" s="265" t="s">
        <v>74</v>
      </c>
      <c r="C363" s="263" t="s">
        <v>245</v>
      </c>
      <c r="D363" s="261" t="s">
        <v>79</v>
      </c>
      <c r="E363" s="285"/>
      <c r="F363" s="285"/>
      <c r="G363" s="285"/>
      <c r="H363" s="285"/>
      <c r="I363" s="285"/>
      <c r="J363" s="285"/>
    </row>
    <row r="364" spans="1:10" ht="42.95" customHeight="1" x14ac:dyDescent="0.2">
      <c r="A364" s="278"/>
      <c r="B364" s="277" t="s">
        <v>246</v>
      </c>
      <c r="C364" s="277" t="s">
        <v>243</v>
      </c>
      <c r="D364" s="261" t="s">
        <v>86</v>
      </c>
      <c r="E364" s="267">
        <v>3</v>
      </c>
      <c r="F364" s="267">
        <v>19577</v>
      </c>
      <c r="G364" s="267">
        <v>58731</v>
      </c>
      <c r="H364" s="267">
        <v>1469</v>
      </c>
      <c r="I364" s="267">
        <v>4408</v>
      </c>
      <c r="J364" s="267">
        <v>54324</v>
      </c>
    </row>
    <row r="365" spans="1:10" ht="14.1" customHeight="1" x14ac:dyDescent="0.2">
      <c r="A365" s="278"/>
      <c r="B365" s="278"/>
      <c r="C365" s="278"/>
      <c r="D365" s="261" t="s">
        <v>84</v>
      </c>
      <c r="E365" s="267">
        <v>1</v>
      </c>
      <c r="F365" s="267">
        <v>9165</v>
      </c>
      <c r="G365" s="267">
        <v>9165</v>
      </c>
      <c r="H365" s="267">
        <v>1469</v>
      </c>
      <c r="I365" s="267">
        <v>1469</v>
      </c>
      <c r="J365" s="267">
        <v>7696</v>
      </c>
    </row>
    <row r="366" spans="1:10" ht="14.1" customHeight="1" x14ac:dyDescent="0.2">
      <c r="A366" s="278"/>
      <c r="B366" s="278"/>
      <c r="C366" s="278"/>
      <c r="D366" s="261" t="s">
        <v>78</v>
      </c>
      <c r="E366" s="267">
        <v>1</v>
      </c>
      <c r="F366" s="267">
        <v>37855</v>
      </c>
      <c r="G366" s="267">
        <v>37855</v>
      </c>
      <c r="H366" s="267">
        <v>1469</v>
      </c>
      <c r="I366" s="267">
        <v>1469</v>
      </c>
      <c r="J366" s="267">
        <v>36385</v>
      </c>
    </row>
    <row r="367" spans="1:10" ht="42.95" customHeight="1" x14ac:dyDescent="0.2">
      <c r="A367" s="278"/>
      <c r="B367" s="278"/>
      <c r="C367" s="277" t="s">
        <v>245</v>
      </c>
      <c r="D367" s="261" t="s">
        <v>118</v>
      </c>
      <c r="E367" s="267">
        <v>3</v>
      </c>
      <c r="F367" s="267">
        <v>51490</v>
      </c>
      <c r="G367" s="267">
        <v>154471</v>
      </c>
      <c r="H367" s="267">
        <v>790</v>
      </c>
      <c r="I367" s="267">
        <v>2370</v>
      </c>
      <c r="J367" s="267">
        <v>152101</v>
      </c>
    </row>
    <row r="368" spans="1:10" ht="14.1" customHeight="1" x14ac:dyDescent="0.2">
      <c r="A368" s="278"/>
      <c r="B368" s="278"/>
      <c r="C368" s="278"/>
      <c r="D368" s="261" t="s">
        <v>92</v>
      </c>
      <c r="E368" s="267">
        <v>41</v>
      </c>
      <c r="F368" s="267">
        <v>31120</v>
      </c>
      <c r="G368" s="267">
        <v>1275937</v>
      </c>
      <c r="H368" s="267">
        <v>790</v>
      </c>
      <c r="I368" s="267">
        <v>32389</v>
      </c>
      <c r="J368" s="267">
        <v>1243548</v>
      </c>
    </row>
    <row r="369" spans="1:10" ht="14.1" customHeight="1" x14ac:dyDescent="0.2">
      <c r="A369" s="278"/>
      <c r="B369" s="278"/>
      <c r="C369" s="278"/>
      <c r="D369" s="261" t="s">
        <v>86</v>
      </c>
      <c r="E369" s="267">
        <v>537</v>
      </c>
      <c r="F369" s="267">
        <v>18898</v>
      </c>
      <c r="G369" s="267">
        <v>10148162</v>
      </c>
      <c r="H369" s="267">
        <v>790</v>
      </c>
      <c r="I369" s="267">
        <v>424220</v>
      </c>
      <c r="J369" s="267">
        <v>9723942</v>
      </c>
    </row>
    <row r="370" spans="1:10" ht="14.1" customHeight="1" x14ac:dyDescent="0.2">
      <c r="A370" s="278"/>
      <c r="B370" s="278"/>
      <c r="C370" s="278"/>
      <c r="D370" s="261" t="s">
        <v>87</v>
      </c>
      <c r="E370" s="267">
        <v>11</v>
      </c>
      <c r="F370" s="267">
        <v>12107</v>
      </c>
      <c r="G370" s="267">
        <v>133176</v>
      </c>
      <c r="H370" s="267">
        <v>790</v>
      </c>
      <c r="I370" s="267">
        <v>8690</v>
      </c>
      <c r="J370" s="267">
        <v>124487</v>
      </c>
    </row>
    <row r="371" spans="1:10" ht="14.1" customHeight="1" x14ac:dyDescent="0.2">
      <c r="A371" s="278"/>
      <c r="B371" s="278"/>
      <c r="C371" s="278"/>
      <c r="D371" s="261" t="s">
        <v>84</v>
      </c>
      <c r="E371" s="267">
        <v>36</v>
      </c>
      <c r="F371" s="267">
        <v>8486</v>
      </c>
      <c r="G371" s="267">
        <v>305480</v>
      </c>
      <c r="H371" s="267">
        <v>790</v>
      </c>
      <c r="I371" s="267">
        <v>28439</v>
      </c>
      <c r="J371" s="267">
        <v>277040</v>
      </c>
    </row>
    <row r="372" spans="1:10" ht="14.1" customHeight="1" x14ac:dyDescent="0.2">
      <c r="A372" s="278"/>
      <c r="B372" s="278"/>
      <c r="C372" s="278"/>
      <c r="D372" s="261" t="s">
        <v>78</v>
      </c>
      <c r="E372" s="267">
        <v>207</v>
      </c>
      <c r="F372" s="267">
        <v>37175</v>
      </c>
      <c r="G372" s="267">
        <v>7695295</v>
      </c>
      <c r="H372" s="267">
        <v>790</v>
      </c>
      <c r="I372" s="267">
        <v>163526</v>
      </c>
      <c r="J372" s="267">
        <v>7531769</v>
      </c>
    </row>
    <row r="373" spans="1:10" ht="14.1" customHeight="1" x14ac:dyDescent="0.2">
      <c r="A373" s="278"/>
      <c r="B373" s="278"/>
      <c r="C373" s="278"/>
      <c r="D373" s="261" t="s">
        <v>153</v>
      </c>
      <c r="E373" s="267">
        <v>4</v>
      </c>
      <c r="F373" s="267">
        <v>5152</v>
      </c>
      <c r="G373" s="267">
        <v>20609</v>
      </c>
      <c r="H373" s="267">
        <v>790</v>
      </c>
      <c r="I373" s="267">
        <v>3160</v>
      </c>
      <c r="J373" s="267">
        <v>17449</v>
      </c>
    </row>
    <row r="374" spans="1:10" ht="29.1" customHeight="1" x14ac:dyDescent="0.2">
      <c r="A374" s="278"/>
      <c r="B374" s="277" t="s">
        <v>247</v>
      </c>
      <c r="C374" s="262" t="s">
        <v>75</v>
      </c>
      <c r="D374" s="261" t="s">
        <v>90</v>
      </c>
      <c r="E374" s="267">
        <v>1</v>
      </c>
      <c r="F374" s="267">
        <v>7696</v>
      </c>
      <c r="G374" s="267">
        <v>7696</v>
      </c>
      <c r="H374" s="267">
        <v>1188</v>
      </c>
      <c r="I374" s="267">
        <v>1188</v>
      </c>
      <c r="J374" s="267">
        <v>6508</v>
      </c>
    </row>
    <row r="375" spans="1:10" ht="42.95" customHeight="1" x14ac:dyDescent="0.2">
      <c r="A375" s="278"/>
      <c r="B375" s="278"/>
      <c r="C375" s="277" t="s">
        <v>243</v>
      </c>
      <c r="D375" s="261" t="s">
        <v>86</v>
      </c>
      <c r="E375" s="267">
        <v>1</v>
      </c>
      <c r="F375" s="267">
        <v>19577</v>
      </c>
      <c r="G375" s="267">
        <v>19577</v>
      </c>
      <c r="H375" s="267">
        <v>2657</v>
      </c>
      <c r="I375" s="267">
        <v>2657</v>
      </c>
      <c r="J375" s="267">
        <v>16920</v>
      </c>
    </row>
    <row r="376" spans="1:10" ht="14.1" customHeight="1" x14ac:dyDescent="0.2">
      <c r="A376" s="278"/>
      <c r="B376" s="278"/>
      <c r="C376" s="278"/>
      <c r="D376" s="261" t="s">
        <v>87</v>
      </c>
      <c r="E376" s="267">
        <v>1</v>
      </c>
      <c r="F376" s="267">
        <v>12786</v>
      </c>
      <c r="G376" s="267">
        <v>12786</v>
      </c>
      <c r="H376" s="267">
        <v>2657</v>
      </c>
      <c r="I376" s="267">
        <v>2657</v>
      </c>
      <c r="J376" s="267">
        <v>10129</v>
      </c>
    </row>
    <row r="377" spans="1:10" ht="14.1" customHeight="1" x14ac:dyDescent="0.2">
      <c r="A377" s="278"/>
      <c r="B377" s="278"/>
      <c r="C377" s="278"/>
      <c r="D377" s="261" t="s">
        <v>84</v>
      </c>
      <c r="E377" s="267">
        <v>1</v>
      </c>
      <c r="F377" s="267">
        <v>9165</v>
      </c>
      <c r="G377" s="267">
        <v>9165</v>
      </c>
      <c r="H377" s="267">
        <v>2657</v>
      </c>
      <c r="I377" s="267">
        <v>2657</v>
      </c>
      <c r="J377" s="267">
        <v>6508</v>
      </c>
    </row>
    <row r="378" spans="1:10" ht="42.95" customHeight="1" x14ac:dyDescent="0.2">
      <c r="A378" s="278"/>
      <c r="B378" s="278"/>
      <c r="C378" s="277" t="s">
        <v>245</v>
      </c>
      <c r="D378" s="261" t="s">
        <v>92</v>
      </c>
      <c r="E378" s="267">
        <v>13</v>
      </c>
      <c r="F378" s="267">
        <v>31120</v>
      </c>
      <c r="G378" s="267">
        <v>404566</v>
      </c>
      <c r="H378" s="267">
        <v>1978</v>
      </c>
      <c r="I378" s="267">
        <v>25712</v>
      </c>
      <c r="J378" s="267">
        <v>378854</v>
      </c>
    </row>
    <row r="379" spans="1:10" ht="14.1" customHeight="1" x14ac:dyDescent="0.2">
      <c r="A379" s="278"/>
      <c r="B379" s="278"/>
      <c r="C379" s="278"/>
      <c r="D379" s="261" t="s">
        <v>86</v>
      </c>
      <c r="E379" s="267">
        <v>184</v>
      </c>
      <c r="F379" s="267">
        <v>18898</v>
      </c>
      <c r="G379" s="267">
        <v>3477210</v>
      </c>
      <c r="H379" s="267">
        <v>1978</v>
      </c>
      <c r="I379" s="267">
        <v>363923</v>
      </c>
      <c r="J379" s="267">
        <v>3113287</v>
      </c>
    </row>
    <row r="380" spans="1:10" ht="14.1" customHeight="1" x14ac:dyDescent="0.2">
      <c r="A380" s="278"/>
      <c r="B380" s="278"/>
      <c r="C380" s="278"/>
      <c r="D380" s="261" t="s">
        <v>87</v>
      </c>
      <c r="E380" s="267">
        <v>211</v>
      </c>
      <c r="F380" s="267">
        <v>12107</v>
      </c>
      <c r="G380" s="267">
        <v>2554564</v>
      </c>
      <c r="H380" s="267">
        <v>1978</v>
      </c>
      <c r="I380" s="267">
        <v>417325</v>
      </c>
      <c r="J380" s="267">
        <v>2137239</v>
      </c>
    </row>
    <row r="381" spans="1:10" ht="14.1" customHeight="1" x14ac:dyDescent="0.2">
      <c r="A381" s="278"/>
      <c r="B381" s="278"/>
      <c r="C381" s="278"/>
      <c r="D381" s="261" t="s">
        <v>84</v>
      </c>
      <c r="E381" s="267">
        <v>699</v>
      </c>
      <c r="F381" s="267">
        <v>8486</v>
      </c>
      <c r="G381" s="267">
        <v>5931399</v>
      </c>
      <c r="H381" s="267">
        <v>1978</v>
      </c>
      <c r="I381" s="267">
        <v>1382512</v>
      </c>
      <c r="J381" s="267">
        <v>4548887</v>
      </c>
    </row>
    <row r="382" spans="1:10" ht="29.1" customHeight="1" x14ac:dyDescent="0.2">
      <c r="A382" s="277" t="s">
        <v>250</v>
      </c>
      <c r="B382" s="278" t="s">
        <v>60</v>
      </c>
      <c r="C382" s="278"/>
      <c r="D382" s="278"/>
      <c r="E382" s="267">
        <v>56152</v>
      </c>
      <c r="F382" s="267"/>
      <c r="G382" s="267">
        <v>783059518</v>
      </c>
      <c r="H382" s="267"/>
      <c r="I382" s="267">
        <v>88742648</v>
      </c>
      <c r="J382" s="267">
        <v>694316870</v>
      </c>
    </row>
    <row r="383" spans="1:10" ht="14.1" customHeight="1" x14ac:dyDescent="0.2">
      <c r="A383" s="278"/>
      <c r="B383" s="261" t="s">
        <v>71</v>
      </c>
      <c r="C383" s="261" t="s">
        <v>72</v>
      </c>
      <c r="D383" s="261" t="s">
        <v>73</v>
      </c>
      <c r="E383" s="284">
        <v>131</v>
      </c>
      <c r="F383" s="284">
        <v>11382</v>
      </c>
      <c r="G383" s="284">
        <v>1491103</v>
      </c>
      <c r="H383" s="284">
        <v>0</v>
      </c>
      <c r="I383" s="284">
        <v>0</v>
      </c>
      <c r="J383" s="284">
        <v>1491103</v>
      </c>
    </row>
    <row r="384" spans="1:10" ht="14.1" customHeight="1" x14ac:dyDescent="0.2">
      <c r="A384" s="278"/>
      <c r="B384" s="279" t="s">
        <v>74</v>
      </c>
      <c r="C384" s="262" t="s">
        <v>75</v>
      </c>
      <c r="D384" s="261" t="s">
        <v>77</v>
      </c>
      <c r="E384" s="285"/>
      <c r="F384" s="285"/>
      <c r="G384" s="285"/>
      <c r="H384" s="285"/>
      <c r="I384" s="285"/>
      <c r="J384" s="285"/>
    </row>
    <row r="385" spans="1:10" ht="42.95" customHeight="1" x14ac:dyDescent="0.2">
      <c r="A385" s="278"/>
      <c r="B385" s="278"/>
      <c r="C385" s="263" t="s">
        <v>243</v>
      </c>
      <c r="D385" s="261" t="s">
        <v>79</v>
      </c>
      <c r="E385" s="267">
        <v>5</v>
      </c>
      <c r="F385" s="267">
        <v>12852</v>
      </c>
      <c r="G385" s="267">
        <v>64258</v>
      </c>
      <c r="H385" s="267">
        <v>2657</v>
      </c>
      <c r="I385" s="267">
        <v>13285</v>
      </c>
      <c r="J385" s="267">
        <v>50973</v>
      </c>
    </row>
    <row r="386" spans="1:10" ht="42.95" customHeight="1" x14ac:dyDescent="0.2">
      <c r="A386" s="278"/>
      <c r="B386" s="278"/>
      <c r="C386" s="263" t="s">
        <v>244</v>
      </c>
      <c r="D386" s="261" t="s">
        <v>79</v>
      </c>
      <c r="E386" s="267">
        <v>4</v>
      </c>
      <c r="F386" s="267">
        <v>12624</v>
      </c>
      <c r="G386" s="267">
        <v>50497</v>
      </c>
      <c r="H386" s="267">
        <v>2430</v>
      </c>
      <c r="I386" s="267">
        <v>9719</v>
      </c>
      <c r="J386" s="267">
        <v>40778</v>
      </c>
    </row>
    <row r="387" spans="1:10" ht="42.95" customHeight="1" x14ac:dyDescent="0.2">
      <c r="A387" s="278"/>
      <c r="B387" s="278"/>
      <c r="C387" s="263" t="s">
        <v>245</v>
      </c>
      <c r="D387" s="261" t="s">
        <v>79</v>
      </c>
      <c r="E387" s="267">
        <v>4293</v>
      </c>
      <c r="F387" s="267">
        <v>12172</v>
      </c>
      <c r="G387" s="267">
        <v>52256315</v>
      </c>
      <c r="H387" s="267">
        <v>1978</v>
      </c>
      <c r="I387" s="267">
        <v>8490876</v>
      </c>
      <c r="J387" s="267">
        <v>43765439</v>
      </c>
    </row>
    <row r="388" spans="1:10" ht="42.95" customHeight="1" x14ac:dyDescent="0.2">
      <c r="A388" s="278"/>
      <c r="B388" s="279" t="s">
        <v>89</v>
      </c>
      <c r="C388" s="263" t="s">
        <v>243</v>
      </c>
      <c r="D388" s="261" t="s">
        <v>84</v>
      </c>
      <c r="E388" s="267">
        <v>1</v>
      </c>
      <c r="F388" s="267">
        <v>9165</v>
      </c>
      <c r="G388" s="267">
        <v>9165</v>
      </c>
      <c r="H388" s="267">
        <v>2296</v>
      </c>
      <c r="I388" s="267">
        <v>2296</v>
      </c>
      <c r="J388" s="267">
        <v>6869</v>
      </c>
    </row>
    <row r="389" spans="1:10" ht="42.95" customHeight="1" x14ac:dyDescent="0.2">
      <c r="A389" s="278"/>
      <c r="B389" s="278"/>
      <c r="C389" s="277" t="s">
        <v>245</v>
      </c>
      <c r="D389" s="261" t="s">
        <v>101</v>
      </c>
      <c r="E389" s="267">
        <v>1</v>
      </c>
      <c r="F389" s="267">
        <v>17488</v>
      </c>
      <c r="G389" s="267">
        <v>17488</v>
      </c>
      <c r="H389" s="267">
        <v>10619</v>
      </c>
      <c r="I389" s="267">
        <v>10619</v>
      </c>
      <c r="J389" s="267">
        <v>6869</v>
      </c>
    </row>
    <row r="390" spans="1:10" ht="14.1" customHeight="1" x14ac:dyDescent="0.2">
      <c r="A390" s="278"/>
      <c r="B390" s="278"/>
      <c r="C390" s="278"/>
      <c r="D390" s="261" t="s">
        <v>94</v>
      </c>
      <c r="E390" s="267">
        <v>6</v>
      </c>
      <c r="F390" s="267">
        <v>0</v>
      </c>
      <c r="G390" s="267">
        <v>0</v>
      </c>
      <c r="H390" s="267">
        <v>0</v>
      </c>
      <c r="I390" s="267">
        <v>0</v>
      </c>
      <c r="J390" s="267">
        <v>0</v>
      </c>
    </row>
    <row r="391" spans="1:10" ht="14.1" customHeight="1" x14ac:dyDescent="0.2">
      <c r="A391" s="278"/>
      <c r="B391" s="278"/>
      <c r="C391" s="278"/>
      <c r="D391" s="261" t="s">
        <v>84</v>
      </c>
      <c r="E391" s="267">
        <v>5785</v>
      </c>
      <c r="F391" s="267">
        <v>8486</v>
      </c>
      <c r="G391" s="267">
        <v>49088902</v>
      </c>
      <c r="H391" s="267">
        <v>1617</v>
      </c>
      <c r="I391" s="267">
        <v>9354445</v>
      </c>
      <c r="J391" s="267">
        <v>39734456</v>
      </c>
    </row>
    <row r="392" spans="1:10" ht="14.1" customHeight="1" x14ac:dyDescent="0.2">
      <c r="A392" s="278"/>
      <c r="B392" s="278"/>
      <c r="C392" s="278"/>
      <c r="D392" s="261" t="s">
        <v>105</v>
      </c>
      <c r="E392" s="267">
        <v>527</v>
      </c>
      <c r="F392" s="267">
        <v>8845</v>
      </c>
      <c r="G392" s="267">
        <v>4661414</v>
      </c>
      <c r="H392" s="267">
        <v>1977</v>
      </c>
      <c r="I392" s="267">
        <v>1041698</v>
      </c>
      <c r="J392" s="267">
        <v>3619716</v>
      </c>
    </row>
    <row r="393" spans="1:10" ht="14.1" customHeight="1" x14ac:dyDescent="0.2">
      <c r="A393" s="278"/>
      <c r="B393" s="279" t="s">
        <v>80</v>
      </c>
      <c r="C393" s="280" t="s">
        <v>75</v>
      </c>
      <c r="D393" s="261" t="s">
        <v>81</v>
      </c>
      <c r="E393" s="267">
        <v>389</v>
      </c>
      <c r="F393" s="267">
        <v>22977</v>
      </c>
      <c r="G393" s="267">
        <v>8937928</v>
      </c>
      <c r="H393" s="267">
        <v>3812</v>
      </c>
      <c r="I393" s="267">
        <v>1482700</v>
      </c>
      <c r="J393" s="267">
        <v>7455229</v>
      </c>
    </row>
    <row r="394" spans="1:10" ht="14.1" customHeight="1" x14ac:dyDescent="0.2">
      <c r="A394" s="278"/>
      <c r="B394" s="278"/>
      <c r="C394" s="278"/>
      <c r="D394" s="261" t="s">
        <v>82</v>
      </c>
      <c r="E394" s="267">
        <v>1178</v>
      </c>
      <c r="F394" s="267">
        <v>19789</v>
      </c>
      <c r="G394" s="267">
        <v>23311653</v>
      </c>
      <c r="H394" s="267">
        <v>3812</v>
      </c>
      <c r="I394" s="267">
        <v>4490026</v>
      </c>
      <c r="J394" s="267">
        <v>18821627</v>
      </c>
    </row>
    <row r="395" spans="1:10" ht="42.95" customHeight="1" x14ac:dyDescent="0.2">
      <c r="A395" s="278"/>
      <c r="B395" s="277" t="s">
        <v>246</v>
      </c>
      <c r="C395" s="280" t="s">
        <v>75</v>
      </c>
      <c r="D395" s="261" t="s">
        <v>107</v>
      </c>
      <c r="E395" s="267">
        <v>1</v>
      </c>
      <c r="F395" s="267">
        <v>1983</v>
      </c>
      <c r="G395" s="267">
        <v>1983</v>
      </c>
      <c r="H395" s="267">
        <v>0</v>
      </c>
      <c r="I395" s="267">
        <v>0</v>
      </c>
      <c r="J395" s="267">
        <v>1983</v>
      </c>
    </row>
    <row r="396" spans="1:10" ht="14.1" customHeight="1" x14ac:dyDescent="0.2">
      <c r="A396" s="278"/>
      <c r="B396" s="278"/>
      <c r="C396" s="278"/>
      <c r="D396" s="261" t="s">
        <v>91</v>
      </c>
      <c r="E396" s="267">
        <v>4</v>
      </c>
      <c r="F396" s="267">
        <v>18108</v>
      </c>
      <c r="G396" s="267">
        <v>72432</v>
      </c>
      <c r="H396" s="267">
        <v>0</v>
      </c>
      <c r="I396" s="267">
        <v>0</v>
      </c>
      <c r="J396" s="267">
        <v>72432</v>
      </c>
    </row>
    <row r="397" spans="1:10" ht="14.1" customHeight="1" x14ac:dyDescent="0.2">
      <c r="A397" s="278"/>
      <c r="B397" s="278"/>
      <c r="C397" s="278"/>
      <c r="D397" s="261" t="s">
        <v>97</v>
      </c>
      <c r="E397" s="267">
        <v>2</v>
      </c>
      <c r="F397" s="267">
        <v>11317</v>
      </c>
      <c r="G397" s="267">
        <v>22634</v>
      </c>
      <c r="H397" s="267">
        <v>0</v>
      </c>
      <c r="I397" s="267">
        <v>0</v>
      </c>
      <c r="J397" s="267">
        <v>22634</v>
      </c>
    </row>
    <row r="398" spans="1:10" ht="14.1" customHeight="1" x14ac:dyDescent="0.2">
      <c r="A398" s="278"/>
      <c r="B398" s="278"/>
      <c r="C398" s="278"/>
      <c r="D398" s="261" t="s">
        <v>90</v>
      </c>
      <c r="E398" s="267">
        <v>18</v>
      </c>
      <c r="F398" s="267">
        <v>7696</v>
      </c>
      <c r="G398" s="267">
        <v>138520</v>
      </c>
      <c r="H398" s="267">
        <v>0</v>
      </c>
      <c r="I398" s="267">
        <v>0</v>
      </c>
      <c r="J398" s="267">
        <v>138520</v>
      </c>
    </row>
    <row r="399" spans="1:10" ht="14.1" customHeight="1" x14ac:dyDescent="0.2">
      <c r="A399" s="278"/>
      <c r="B399" s="278"/>
      <c r="C399" s="278"/>
      <c r="D399" s="261" t="s">
        <v>100</v>
      </c>
      <c r="E399" s="267">
        <v>4</v>
      </c>
      <c r="F399" s="267">
        <v>4981</v>
      </c>
      <c r="G399" s="267">
        <v>19923</v>
      </c>
      <c r="H399" s="267">
        <v>0</v>
      </c>
      <c r="I399" s="267">
        <v>0</v>
      </c>
      <c r="J399" s="267">
        <v>19923</v>
      </c>
    </row>
    <row r="400" spans="1:10" ht="14.1" customHeight="1" x14ac:dyDescent="0.2">
      <c r="A400" s="278"/>
      <c r="B400" s="278"/>
      <c r="C400" s="278"/>
      <c r="D400" s="261" t="s">
        <v>76</v>
      </c>
      <c r="E400" s="267">
        <v>541</v>
      </c>
      <c r="F400" s="267">
        <v>36385</v>
      </c>
      <c r="G400" s="267">
        <v>19684478</v>
      </c>
      <c r="H400" s="267">
        <v>0</v>
      </c>
      <c r="I400" s="267">
        <v>0</v>
      </c>
      <c r="J400" s="267">
        <v>19684478</v>
      </c>
    </row>
    <row r="401" spans="1:10" ht="14.1" customHeight="1" x14ac:dyDescent="0.2">
      <c r="A401" s="278"/>
      <c r="B401" s="278"/>
      <c r="C401" s="278"/>
      <c r="D401" s="261" t="s">
        <v>155</v>
      </c>
      <c r="E401" s="267">
        <v>21</v>
      </c>
      <c r="F401" s="267">
        <v>4362</v>
      </c>
      <c r="G401" s="267">
        <v>91607</v>
      </c>
      <c r="H401" s="267">
        <v>0</v>
      </c>
      <c r="I401" s="267">
        <v>0</v>
      </c>
      <c r="J401" s="267">
        <v>91607</v>
      </c>
    </row>
    <row r="402" spans="1:10" ht="14.1" customHeight="1" x14ac:dyDescent="0.2">
      <c r="A402" s="278"/>
      <c r="B402" s="278"/>
      <c r="C402" s="278"/>
      <c r="D402" s="261" t="s">
        <v>151</v>
      </c>
      <c r="E402" s="267">
        <v>248</v>
      </c>
      <c r="F402" s="267">
        <v>5752</v>
      </c>
      <c r="G402" s="267">
        <v>1426597</v>
      </c>
      <c r="H402" s="267">
        <v>0</v>
      </c>
      <c r="I402" s="267">
        <v>0</v>
      </c>
      <c r="J402" s="267">
        <v>1426597</v>
      </c>
    </row>
    <row r="403" spans="1:10" ht="42.95" customHeight="1" x14ac:dyDescent="0.2">
      <c r="A403" s="278"/>
      <c r="B403" s="278"/>
      <c r="C403" s="277" t="s">
        <v>243</v>
      </c>
      <c r="D403" s="261" t="s">
        <v>83</v>
      </c>
      <c r="E403" s="267">
        <v>46</v>
      </c>
      <c r="F403" s="267">
        <v>3452</v>
      </c>
      <c r="G403" s="267">
        <v>158784</v>
      </c>
      <c r="H403" s="267">
        <v>1469</v>
      </c>
      <c r="I403" s="267">
        <v>67582</v>
      </c>
      <c r="J403" s="267">
        <v>91202</v>
      </c>
    </row>
    <row r="404" spans="1:10" ht="14.1" customHeight="1" x14ac:dyDescent="0.2">
      <c r="A404" s="278"/>
      <c r="B404" s="278"/>
      <c r="C404" s="278"/>
      <c r="D404" s="261" t="s">
        <v>86</v>
      </c>
      <c r="E404" s="267">
        <v>10</v>
      </c>
      <c r="F404" s="267">
        <v>19577</v>
      </c>
      <c r="G404" s="267">
        <v>195771</v>
      </c>
      <c r="H404" s="267">
        <v>1469</v>
      </c>
      <c r="I404" s="267">
        <v>14692</v>
      </c>
      <c r="J404" s="267">
        <v>181079</v>
      </c>
    </row>
    <row r="405" spans="1:10" ht="14.1" customHeight="1" x14ac:dyDescent="0.2">
      <c r="A405" s="278"/>
      <c r="B405" s="278"/>
      <c r="C405" s="278"/>
      <c r="D405" s="261" t="s">
        <v>84</v>
      </c>
      <c r="E405" s="267">
        <v>8</v>
      </c>
      <c r="F405" s="267">
        <v>9165</v>
      </c>
      <c r="G405" s="267">
        <v>73318</v>
      </c>
      <c r="H405" s="267">
        <v>1469</v>
      </c>
      <c r="I405" s="267">
        <v>11753</v>
      </c>
      <c r="J405" s="267">
        <v>61565</v>
      </c>
    </row>
    <row r="406" spans="1:10" ht="14.1" customHeight="1" x14ac:dyDescent="0.2">
      <c r="A406" s="278"/>
      <c r="B406" s="278"/>
      <c r="C406" s="278"/>
      <c r="D406" s="261" t="s">
        <v>85</v>
      </c>
      <c r="E406" s="267">
        <v>1</v>
      </c>
      <c r="F406" s="267">
        <v>6450</v>
      </c>
      <c r="G406" s="267">
        <v>6450</v>
      </c>
      <c r="H406" s="267">
        <v>1469</v>
      </c>
      <c r="I406" s="267">
        <v>1469</v>
      </c>
      <c r="J406" s="267">
        <v>4981</v>
      </c>
    </row>
    <row r="407" spans="1:10" ht="14.1" customHeight="1" x14ac:dyDescent="0.2">
      <c r="A407" s="278"/>
      <c r="B407" s="278"/>
      <c r="C407" s="278"/>
      <c r="D407" s="261" t="s">
        <v>96</v>
      </c>
      <c r="E407" s="267">
        <v>5</v>
      </c>
      <c r="F407" s="267">
        <v>4186</v>
      </c>
      <c r="G407" s="267">
        <v>20930</v>
      </c>
      <c r="H407" s="267">
        <v>1469</v>
      </c>
      <c r="I407" s="267">
        <v>7346</v>
      </c>
      <c r="J407" s="267">
        <v>13584</v>
      </c>
    </row>
    <row r="408" spans="1:10" ht="14.1" customHeight="1" x14ac:dyDescent="0.2">
      <c r="A408" s="278"/>
      <c r="B408" s="278"/>
      <c r="C408" s="278"/>
      <c r="D408" s="261" t="s">
        <v>78</v>
      </c>
      <c r="E408" s="267">
        <v>36</v>
      </c>
      <c r="F408" s="267">
        <v>37855</v>
      </c>
      <c r="G408" s="267">
        <v>1362763</v>
      </c>
      <c r="H408" s="267">
        <v>1469</v>
      </c>
      <c r="I408" s="267">
        <v>52890</v>
      </c>
      <c r="J408" s="267">
        <v>1309873</v>
      </c>
    </row>
    <row r="409" spans="1:10" ht="14.1" customHeight="1" x14ac:dyDescent="0.2">
      <c r="A409" s="278"/>
      <c r="B409" s="278"/>
      <c r="C409" s="278"/>
      <c r="D409" s="261" t="s">
        <v>153</v>
      </c>
      <c r="E409" s="267">
        <v>53</v>
      </c>
      <c r="F409" s="267">
        <v>5831</v>
      </c>
      <c r="G409" s="267">
        <v>309065</v>
      </c>
      <c r="H409" s="267">
        <v>1469</v>
      </c>
      <c r="I409" s="267">
        <v>77866</v>
      </c>
      <c r="J409" s="267">
        <v>231198</v>
      </c>
    </row>
    <row r="410" spans="1:10" ht="14.1" customHeight="1" x14ac:dyDescent="0.2">
      <c r="A410" s="278"/>
      <c r="B410" s="278"/>
      <c r="C410" s="278"/>
      <c r="D410" s="261" t="s">
        <v>154</v>
      </c>
      <c r="E410" s="267">
        <v>3</v>
      </c>
      <c r="F410" s="267">
        <v>7222</v>
      </c>
      <c r="G410" s="267">
        <v>21665</v>
      </c>
      <c r="H410" s="267">
        <v>1469</v>
      </c>
      <c r="I410" s="267">
        <v>4408</v>
      </c>
      <c r="J410" s="267">
        <v>17257</v>
      </c>
    </row>
    <row r="411" spans="1:10" ht="42.95" customHeight="1" x14ac:dyDescent="0.2">
      <c r="A411" s="278"/>
      <c r="B411" s="278"/>
      <c r="C411" s="277" t="s">
        <v>244</v>
      </c>
      <c r="D411" s="261" t="s">
        <v>83</v>
      </c>
      <c r="E411" s="267">
        <v>17</v>
      </c>
      <c r="F411" s="267">
        <v>3012</v>
      </c>
      <c r="G411" s="267">
        <v>51201</v>
      </c>
      <c r="H411" s="267">
        <v>1242</v>
      </c>
      <c r="I411" s="267">
        <v>21111</v>
      </c>
      <c r="J411" s="267">
        <v>30091</v>
      </c>
    </row>
    <row r="412" spans="1:10" ht="14.1" customHeight="1" x14ac:dyDescent="0.2">
      <c r="A412" s="278"/>
      <c r="B412" s="278"/>
      <c r="C412" s="278"/>
      <c r="D412" s="261" t="s">
        <v>102</v>
      </c>
      <c r="E412" s="267">
        <v>23</v>
      </c>
      <c r="F412" s="267">
        <v>98116</v>
      </c>
      <c r="G412" s="267">
        <v>2256659</v>
      </c>
      <c r="H412" s="267">
        <v>1242</v>
      </c>
      <c r="I412" s="267">
        <v>28562</v>
      </c>
      <c r="J412" s="267">
        <v>2228097</v>
      </c>
    </row>
    <row r="413" spans="1:10" ht="14.1" customHeight="1" x14ac:dyDescent="0.2">
      <c r="A413" s="278"/>
      <c r="B413" s="278"/>
      <c r="C413" s="278"/>
      <c r="D413" s="261" t="s">
        <v>92</v>
      </c>
      <c r="E413" s="267">
        <v>53</v>
      </c>
      <c r="F413" s="267">
        <v>31325</v>
      </c>
      <c r="G413" s="267">
        <v>1660226</v>
      </c>
      <c r="H413" s="267">
        <v>1242</v>
      </c>
      <c r="I413" s="267">
        <v>65816</v>
      </c>
      <c r="J413" s="267">
        <v>1594410</v>
      </c>
    </row>
    <row r="414" spans="1:10" ht="14.1" customHeight="1" x14ac:dyDescent="0.2">
      <c r="A414" s="278"/>
      <c r="B414" s="278"/>
      <c r="C414" s="278"/>
      <c r="D414" s="261" t="s">
        <v>86</v>
      </c>
      <c r="E414" s="267">
        <v>76</v>
      </c>
      <c r="F414" s="267">
        <v>19136</v>
      </c>
      <c r="G414" s="267">
        <v>1454312</v>
      </c>
      <c r="H414" s="267">
        <v>1242</v>
      </c>
      <c r="I414" s="267">
        <v>94378</v>
      </c>
      <c r="J414" s="267">
        <v>1359934</v>
      </c>
    </row>
    <row r="415" spans="1:10" ht="14.1" customHeight="1" x14ac:dyDescent="0.2">
      <c r="A415" s="278"/>
      <c r="B415" s="278"/>
      <c r="C415" s="278"/>
      <c r="D415" s="261" t="s">
        <v>87</v>
      </c>
      <c r="E415" s="267">
        <v>25</v>
      </c>
      <c r="F415" s="267">
        <v>12559</v>
      </c>
      <c r="G415" s="267">
        <v>313969</v>
      </c>
      <c r="H415" s="267">
        <v>1242</v>
      </c>
      <c r="I415" s="267">
        <v>31045</v>
      </c>
      <c r="J415" s="267">
        <v>282924</v>
      </c>
    </row>
    <row r="416" spans="1:10" ht="14.1" customHeight="1" x14ac:dyDescent="0.2">
      <c r="A416" s="278"/>
      <c r="B416" s="278"/>
      <c r="C416" s="278"/>
      <c r="D416" s="261" t="s">
        <v>84</v>
      </c>
      <c r="E416" s="267">
        <v>24</v>
      </c>
      <c r="F416" s="267">
        <v>8693</v>
      </c>
      <c r="G416" s="267">
        <v>208623</v>
      </c>
      <c r="H416" s="267">
        <v>1242</v>
      </c>
      <c r="I416" s="267">
        <v>29803</v>
      </c>
      <c r="J416" s="267">
        <v>178820</v>
      </c>
    </row>
    <row r="417" spans="1:10" ht="14.1" customHeight="1" x14ac:dyDescent="0.2">
      <c r="A417" s="278"/>
      <c r="B417" s="278"/>
      <c r="C417" s="278"/>
      <c r="D417" s="261" t="s">
        <v>88</v>
      </c>
      <c r="E417" s="267">
        <v>4</v>
      </c>
      <c r="F417" s="267">
        <v>2601</v>
      </c>
      <c r="G417" s="267">
        <v>10405</v>
      </c>
      <c r="H417" s="267">
        <v>1242</v>
      </c>
      <c r="I417" s="267">
        <v>4967</v>
      </c>
      <c r="J417" s="267">
        <v>5437</v>
      </c>
    </row>
    <row r="418" spans="1:10" ht="14.1" customHeight="1" x14ac:dyDescent="0.2">
      <c r="A418" s="278"/>
      <c r="B418" s="278"/>
      <c r="C418" s="278"/>
      <c r="D418" s="261" t="s">
        <v>78</v>
      </c>
      <c r="E418" s="267">
        <v>9</v>
      </c>
      <c r="F418" s="267">
        <v>37577</v>
      </c>
      <c r="G418" s="267">
        <v>338193</v>
      </c>
      <c r="H418" s="267">
        <v>1242</v>
      </c>
      <c r="I418" s="267">
        <v>11176</v>
      </c>
      <c r="J418" s="267">
        <v>327016</v>
      </c>
    </row>
    <row r="419" spans="1:10" ht="14.1" customHeight="1" x14ac:dyDescent="0.2">
      <c r="A419" s="278"/>
      <c r="B419" s="278"/>
      <c r="C419" s="278"/>
      <c r="D419" s="261" t="s">
        <v>153</v>
      </c>
      <c r="E419" s="267">
        <v>43</v>
      </c>
      <c r="F419" s="267">
        <v>5478</v>
      </c>
      <c r="G419" s="267">
        <v>235552</v>
      </c>
      <c r="H419" s="267">
        <v>1242</v>
      </c>
      <c r="I419" s="267">
        <v>53398</v>
      </c>
      <c r="J419" s="267">
        <v>182154</v>
      </c>
    </row>
    <row r="420" spans="1:10" ht="14.1" customHeight="1" x14ac:dyDescent="0.2">
      <c r="A420" s="278"/>
      <c r="B420" s="278"/>
      <c r="C420" s="278"/>
      <c r="D420" s="261" t="s">
        <v>154</v>
      </c>
      <c r="E420" s="267">
        <v>77</v>
      </c>
      <c r="F420" s="267">
        <v>6865</v>
      </c>
      <c r="G420" s="267">
        <v>528615</v>
      </c>
      <c r="H420" s="267">
        <v>1242</v>
      </c>
      <c r="I420" s="267">
        <v>95619</v>
      </c>
      <c r="J420" s="267">
        <v>432995</v>
      </c>
    </row>
    <row r="421" spans="1:10" ht="42.95" customHeight="1" x14ac:dyDescent="0.2">
      <c r="A421" s="278"/>
      <c r="B421" s="278"/>
      <c r="C421" s="277" t="s">
        <v>245</v>
      </c>
      <c r="D421" s="261" t="s">
        <v>83</v>
      </c>
      <c r="E421" s="267">
        <v>1786</v>
      </c>
      <c r="F421" s="267">
        <v>2773</v>
      </c>
      <c r="G421" s="267">
        <v>4951934</v>
      </c>
      <c r="H421" s="267">
        <v>790</v>
      </c>
      <c r="I421" s="267">
        <v>1410906</v>
      </c>
      <c r="J421" s="267">
        <v>3541029</v>
      </c>
    </row>
    <row r="422" spans="1:10" ht="14.1" customHeight="1" x14ac:dyDescent="0.2">
      <c r="A422" s="278"/>
      <c r="B422" s="278"/>
      <c r="C422" s="278"/>
      <c r="D422" s="261" t="s">
        <v>102</v>
      </c>
      <c r="E422" s="267">
        <v>26</v>
      </c>
      <c r="F422" s="267">
        <v>97664</v>
      </c>
      <c r="G422" s="267">
        <v>2539258</v>
      </c>
      <c r="H422" s="267">
        <v>790</v>
      </c>
      <c r="I422" s="267">
        <v>20539</v>
      </c>
      <c r="J422" s="267">
        <v>2518719</v>
      </c>
    </row>
    <row r="423" spans="1:10" ht="14.1" customHeight="1" x14ac:dyDescent="0.2">
      <c r="A423" s="278"/>
      <c r="B423" s="278"/>
      <c r="C423" s="278"/>
      <c r="D423" s="261" t="s">
        <v>92</v>
      </c>
      <c r="E423" s="267">
        <v>839</v>
      </c>
      <c r="F423" s="267">
        <v>31120</v>
      </c>
      <c r="G423" s="267">
        <v>26110036</v>
      </c>
      <c r="H423" s="267">
        <v>790</v>
      </c>
      <c r="I423" s="267">
        <v>662794</v>
      </c>
      <c r="J423" s="267">
        <v>25447242</v>
      </c>
    </row>
    <row r="424" spans="1:10" ht="14.1" customHeight="1" x14ac:dyDescent="0.2">
      <c r="A424" s="278"/>
      <c r="B424" s="278"/>
      <c r="C424" s="278"/>
      <c r="D424" s="261" t="s">
        <v>86</v>
      </c>
      <c r="E424" s="267">
        <v>2765</v>
      </c>
      <c r="F424" s="267">
        <v>18898</v>
      </c>
      <c r="G424" s="267">
        <v>52252640</v>
      </c>
      <c r="H424" s="267">
        <v>790</v>
      </c>
      <c r="I424" s="267">
        <v>2184297</v>
      </c>
      <c r="J424" s="267">
        <v>50068343</v>
      </c>
    </row>
    <row r="425" spans="1:10" ht="14.1" customHeight="1" x14ac:dyDescent="0.2">
      <c r="A425" s="278"/>
      <c r="B425" s="278"/>
      <c r="C425" s="278"/>
      <c r="D425" s="261" t="s">
        <v>87</v>
      </c>
      <c r="E425" s="267">
        <v>680</v>
      </c>
      <c r="F425" s="267">
        <v>12107</v>
      </c>
      <c r="G425" s="267">
        <v>8232717</v>
      </c>
      <c r="H425" s="267">
        <v>790</v>
      </c>
      <c r="I425" s="267">
        <v>537187</v>
      </c>
      <c r="J425" s="267">
        <v>7695530</v>
      </c>
    </row>
    <row r="426" spans="1:10" ht="14.1" customHeight="1" x14ac:dyDescent="0.2">
      <c r="A426" s="278"/>
      <c r="B426" s="278"/>
      <c r="C426" s="278"/>
      <c r="D426" s="261" t="s">
        <v>84</v>
      </c>
      <c r="E426" s="267">
        <v>1127</v>
      </c>
      <c r="F426" s="267">
        <v>8486</v>
      </c>
      <c r="G426" s="267">
        <v>9563214</v>
      </c>
      <c r="H426" s="267">
        <v>790</v>
      </c>
      <c r="I426" s="267">
        <v>890308</v>
      </c>
      <c r="J426" s="267">
        <v>8672906</v>
      </c>
    </row>
    <row r="427" spans="1:10" ht="14.1" customHeight="1" x14ac:dyDescent="0.2">
      <c r="A427" s="278"/>
      <c r="B427" s="278"/>
      <c r="C427" s="278"/>
      <c r="D427" s="261" t="s">
        <v>85</v>
      </c>
      <c r="E427" s="267">
        <v>168</v>
      </c>
      <c r="F427" s="267">
        <v>5771</v>
      </c>
      <c r="G427" s="267">
        <v>969480</v>
      </c>
      <c r="H427" s="267">
        <v>790</v>
      </c>
      <c r="I427" s="267">
        <v>132717</v>
      </c>
      <c r="J427" s="267">
        <v>836763</v>
      </c>
    </row>
    <row r="428" spans="1:10" ht="14.1" customHeight="1" x14ac:dyDescent="0.2">
      <c r="A428" s="278"/>
      <c r="B428" s="278"/>
      <c r="C428" s="278"/>
      <c r="D428" s="261" t="s">
        <v>96</v>
      </c>
      <c r="E428" s="267">
        <v>76</v>
      </c>
      <c r="F428" s="267">
        <v>3516</v>
      </c>
      <c r="G428" s="267">
        <v>267192</v>
      </c>
      <c r="H428" s="267">
        <v>790</v>
      </c>
      <c r="I428" s="267">
        <v>60039</v>
      </c>
      <c r="J428" s="267">
        <v>207153</v>
      </c>
    </row>
    <row r="429" spans="1:10" ht="14.1" customHeight="1" x14ac:dyDescent="0.2">
      <c r="A429" s="278"/>
      <c r="B429" s="278"/>
      <c r="C429" s="278"/>
      <c r="D429" s="261" t="s">
        <v>88</v>
      </c>
      <c r="E429" s="267">
        <v>16</v>
      </c>
      <c r="F429" s="267">
        <v>2149</v>
      </c>
      <c r="G429" s="267">
        <v>34389</v>
      </c>
      <c r="H429" s="267">
        <v>790</v>
      </c>
      <c r="I429" s="267">
        <v>12640</v>
      </c>
      <c r="J429" s="267">
        <v>21750</v>
      </c>
    </row>
    <row r="430" spans="1:10" ht="14.1" customHeight="1" x14ac:dyDescent="0.2">
      <c r="A430" s="278"/>
      <c r="B430" s="278"/>
      <c r="C430" s="278"/>
      <c r="D430" s="261" t="s">
        <v>106</v>
      </c>
      <c r="E430" s="267">
        <v>4</v>
      </c>
      <c r="F430" s="267">
        <v>1401</v>
      </c>
      <c r="G430" s="267">
        <v>5603</v>
      </c>
      <c r="H430" s="267">
        <v>790</v>
      </c>
      <c r="I430" s="267">
        <v>3160</v>
      </c>
      <c r="J430" s="267">
        <v>2443</v>
      </c>
    </row>
    <row r="431" spans="1:10" ht="14.1" customHeight="1" x14ac:dyDescent="0.2">
      <c r="A431" s="278"/>
      <c r="B431" s="278"/>
      <c r="C431" s="278"/>
      <c r="D431" s="261" t="s">
        <v>78</v>
      </c>
      <c r="E431" s="267">
        <v>4686</v>
      </c>
      <c r="F431" s="267">
        <v>37175</v>
      </c>
      <c r="G431" s="267">
        <v>174203630</v>
      </c>
      <c r="H431" s="267">
        <v>790</v>
      </c>
      <c r="I431" s="267">
        <v>3701850</v>
      </c>
      <c r="J431" s="267">
        <v>170501780</v>
      </c>
    </row>
    <row r="432" spans="1:10" ht="14.1" customHeight="1" x14ac:dyDescent="0.2">
      <c r="A432" s="278"/>
      <c r="B432" s="278"/>
      <c r="C432" s="278"/>
      <c r="D432" s="261" t="s">
        <v>152</v>
      </c>
      <c r="E432" s="267">
        <v>118</v>
      </c>
      <c r="F432" s="267">
        <v>28002</v>
      </c>
      <c r="G432" s="267">
        <v>3304227</v>
      </c>
      <c r="H432" s="267">
        <v>790</v>
      </c>
      <c r="I432" s="267">
        <v>93218</v>
      </c>
      <c r="J432" s="267">
        <v>3211010</v>
      </c>
    </row>
    <row r="433" spans="1:10" ht="14.1" customHeight="1" x14ac:dyDescent="0.2">
      <c r="A433" s="278"/>
      <c r="B433" s="278"/>
      <c r="C433" s="278"/>
      <c r="D433" s="261" t="s">
        <v>153</v>
      </c>
      <c r="E433" s="267">
        <v>869</v>
      </c>
      <c r="F433" s="267">
        <v>5158</v>
      </c>
      <c r="G433" s="267">
        <v>4482709</v>
      </c>
      <c r="H433" s="267">
        <v>790</v>
      </c>
      <c r="I433" s="267">
        <v>686493</v>
      </c>
      <c r="J433" s="267">
        <v>3796216</v>
      </c>
    </row>
    <row r="434" spans="1:10" ht="14.1" customHeight="1" x14ac:dyDescent="0.2">
      <c r="A434" s="278"/>
      <c r="B434" s="278"/>
      <c r="C434" s="278"/>
      <c r="D434" s="261" t="s">
        <v>154</v>
      </c>
      <c r="E434" s="267">
        <v>4344</v>
      </c>
      <c r="F434" s="267">
        <v>6542</v>
      </c>
      <c r="G434" s="267">
        <v>28420139</v>
      </c>
      <c r="H434" s="267">
        <v>790</v>
      </c>
      <c r="I434" s="267">
        <v>3431676</v>
      </c>
      <c r="J434" s="267">
        <v>24988462</v>
      </c>
    </row>
    <row r="435" spans="1:10" ht="29.1" customHeight="1" x14ac:dyDescent="0.2">
      <c r="A435" s="278"/>
      <c r="B435" s="277" t="s">
        <v>247</v>
      </c>
      <c r="C435" s="280" t="s">
        <v>75</v>
      </c>
      <c r="D435" s="261" t="s">
        <v>91</v>
      </c>
      <c r="E435" s="267">
        <v>7</v>
      </c>
      <c r="F435" s="267">
        <v>18108</v>
      </c>
      <c r="G435" s="267">
        <v>126755</v>
      </c>
      <c r="H435" s="267">
        <v>1188</v>
      </c>
      <c r="I435" s="267">
        <v>8315</v>
      </c>
      <c r="J435" s="267">
        <v>118440</v>
      </c>
    </row>
    <row r="436" spans="1:10" ht="14.1" customHeight="1" x14ac:dyDescent="0.2">
      <c r="A436" s="278"/>
      <c r="B436" s="278"/>
      <c r="C436" s="278"/>
      <c r="D436" s="261" t="s">
        <v>97</v>
      </c>
      <c r="E436" s="267">
        <v>2</v>
      </c>
      <c r="F436" s="267">
        <v>11317</v>
      </c>
      <c r="G436" s="267">
        <v>22634</v>
      </c>
      <c r="H436" s="267">
        <v>1188</v>
      </c>
      <c r="I436" s="267">
        <v>2376</v>
      </c>
      <c r="J436" s="267">
        <v>20258</v>
      </c>
    </row>
    <row r="437" spans="1:10" ht="14.1" customHeight="1" x14ac:dyDescent="0.2">
      <c r="A437" s="278"/>
      <c r="B437" s="278"/>
      <c r="C437" s="278"/>
      <c r="D437" s="261" t="s">
        <v>90</v>
      </c>
      <c r="E437" s="267">
        <v>147</v>
      </c>
      <c r="F437" s="267">
        <v>7696</v>
      </c>
      <c r="G437" s="267">
        <v>1131249</v>
      </c>
      <c r="H437" s="267">
        <v>1188</v>
      </c>
      <c r="I437" s="267">
        <v>174616</v>
      </c>
      <c r="J437" s="267">
        <v>956633</v>
      </c>
    </row>
    <row r="438" spans="1:10" ht="14.1" customHeight="1" x14ac:dyDescent="0.2">
      <c r="A438" s="278"/>
      <c r="B438" s="278"/>
      <c r="C438" s="278"/>
      <c r="D438" s="261" t="s">
        <v>100</v>
      </c>
      <c r="E438" s="267">
        <v>7</v>
      </c>
      <c r="F438" s="267">
        <v>4981</v>
      </c>
      <c r="G438" s="267">
        <v>34865</v>
      </c>
      <c r="H438" s="267">
        <v>1188</v>
      </c>
      <c r="I438" s="267">
        <v>8315</v>
      </c>
      <c r="J438" s="267">
        <v>26550</v>
      </c>
    </row>
    <row r="439" spans="1:10" ht="14.1" customHeight="1" x14ac:dyDescent="0.2">
      <c r="A439" s="278"/>
      <c r="B439" s="278"/>
      <c r="C439" s="278"/>
      <c r="D439" s="261" t="s">
        <v>98</v>
      </c>
      <c r="E439" s="267">
        <v>1</v>
      </c>
      <c r="F439" s="267">
        <v>2717</v>
      </c>
      <c r="G439" s="267">
        <v>2717</v>
      </c>
      <c r="H439" s="267">
        <v>1188</v>
      </c>
      <c r="I439" s="267">
        <v>1188</v>
      </c>
      <c r="J439" s="267">
        <v>1529</v>
      </c>
    </row>
    <row r="440" spans="1:10" ht="14.1" customHeight="1" x14ac:dyDescent="0.2">
      <c r="A440" s="278"/>
      <c r="B440" s="278"/>
      <c r="C440" s="278"/>
      <c r="D440" s="261" t="s">
        <v>103</v>
      </c>
      <c r="E440" s="267">
        <v>1</v>
      </c>
      <c r="F440" s="267">
        <v>1359</v>
      </c>
      <c r="G440" s="267">
        <v>1359</v>
      </c>
      <c r="H440" s="267">
        <v>1188</v>
      </c>
      <c r="I440" s="267">
        <v>1188</v>
      </c>
      <c r="J440" s="267">
        <v>171</v>
      </c>
    </row>
    <row r="441" spans="1:10" ht="42.95" customHeight="1" x14ac:dyDescent="0.2">
      <c r="A441" s="278"/>
      <c r="B441" s="278"/>
      <c r="C441" s="277" t="s">
        <v>243</v>
      </c>
      <c r="D441" s="261" t="s">
        <v>86</v>
      </c>
      <c r="E441" s="267">
        <v>1</v>
      </c>
      <c r="F441" s="267">
        <v>19577</v>
      </c>
      <c r="G441" s="267">
        <v>19577</v>
      </c>
      <c r="H441" s="267">
        <v>2657</v>
      </c>
      <c r="I441" s="267">
        <v>2657</v>
      </c>
      <c r="J441" s="267">
        <v>16920</v>
      </c>
    </row>
    <row r="442" spans="1:10" ht="14.1" customHeight="1" x14ac:dyDescent="0.2">
      <c r="A442" s="278"/>
      <c r="B442" s="278"/>
      <c r="C442" s="278"/>
      <c r="D442" s="261" t="s">
        <v>84</v>
      </c>
      <c r="E442" s="267">
        <v>2</v>
      </c>
      <c r="F442" s="267">
        <v>9165</v>
      </c>
      <c r="G442" s="267">
        <v>18329</v>
      </c>
      <c r="H442" s="267">
        <v>2657</v>
      </c>
      <c r="I442" s="267">
        <v>5314</v>
      </c>
      <c r="J442" s="267">
        <v>13015</v>
      </c>
    </row>
    <row r="443" spans="1:10" ht="14.1" customHeight="1" x14ac:dyDescent="0.2">
      <c r="A443" s="278"/>
      <c r="B443" s="278"/>
      <c r="C443" s="278"/>
      <c r="D443" s="261" t="s">
        <v>85</v>
      </c>
      <c r="E443" s="267">
        <v>1</v>
      </c>
      <c r="F443" s="267">
        <v>6450</v>
      </c>
      <c r="G443" s="267">
        <v>6450</v>
      </c>
      <c r="H443" s="267">
        <v>2657</v>
      </c>
      <c r="I443" s="267">
        <v>2657</v>
      </c>
      <c r="J443" s="267">
        <v>3793</v>
      </c>
    </row>
    <row r="444" spans="1:10" ht="14.1" customHeight="1" x14ac:dyDescent="0.2">
      <c r="A444" s="278"/>
      <c r="B444" s="278"/>
      <c r="C444" s="278"/>
      <c r="D444" s="261" t="s">
        <v>88</v>
      </c>
      <c r="E444" s="267">
        <v>1</v>
      </c>
      <c r="F444" s="267">
        <v>2829</v>
      </c>
      <c r="G444" s="267">
        <v>2829</v>
      </c>
      <c r="H444" s="267">
        <v>2657</v>
      </c>
      <c r="I444" s="267">
        <v>2657</v>
      </c>
      <c r="J444" s="267">
        <v>171</v>
      </c>
    </row>
    <row r="445" spans="1:10" ht="42.95" customHeight="1" x14ac:dyDescent="0.2">
      <c r="A445" s="278"/>
      <c r="B445" s="278"/>
      <c r="C445" s="277" t="s">
        <v>244</v>
      </c>
      <c r="D445" s="261" t="s">
        <v>92</v>
      </c>
      <c r="E445" s="267">
        <v>3</v>
      </c>
      <c r="F445" s="267">
        <v>31572</v>
      </c>
      <c r="G445" s="267">
        <v>94717</v>
      </c>
      <c r="H445" s="267">
        <v>2430</v>
      </c>
      <c r="I445" s="267">
        <v>7289</v>
      </c>
      <c r="J445" s="267">
        <v>87428</v>
      </c>
    </row>
    <row r="446" spans="1:10" ht="14.1" customHeight="1" x14ac:dyDescent="0.2">
      <c r="A446" s="278"/>
      <c r="B446" s="278"/>
      <c r="C446" s="278"/>
      <c r="D446" s="261" t="s">
        <v>86</v>
      </c>
      <c r="E446" s="267">
        <v>57</v>
      </c>
      <c r="F446" s="267">
        <v>19247</v>
      </c>
      <c r="G446" s="267">
        <v>1097060</v>
      </c>
      <c r="H446" s="267">
        <v>2430</v>
      </c>
      <c r="I446" s="267">
        <v>138491</v>
      </c>
      <c r="J446" s="267">
        <v>958568</v>
      </c>
    </row>
    <row r="447" spans="1:10" ht="14.1" customHeight="1" x14ac:dyDescent="0.2">
      <c r="A447" s="278"/>
      <c r="B447" s="278"/>
      <c r="C447" s="278"/>
      <c r="D447" s="261" t="s">
        <v>87</v>
      </c>
      <c r="E447" s="267">
        <v>49</v>
      </c>
      <c r="F447" s="267">
        <v>12503</v>
      </c>
      <c r="G447" s="267">
        <v>612669</v>
      </c>
      <c r="H447" s="267">
        <v>2430</v>
      </c>
      <c r="I447" s="267">
        <v>119054</v>
      </c>
      <c r="J447" s="267">
        <v>493615</v>
      </c>
    </row>
    <row r="448" spans="1:10" ht="14.1" customHeight="1" x14ac:dyDescent="0.2">
      <c r="A448" s="278"/>
      <c r="B448" s="278"/>
      <c r="C448" s="278"/>
      <c r="D448" s="261" t="s">
        <v>84</v>
      </c>
      <c r="E448" s="267">
        <v>53</v>
      </c>
      <c r="F448" s="267">
        <v>8920</v>
      </c>
      <c r="G448" s="267">
        <v>472777</v>
      </c>
      <c r="H448" s="267">
        <v>2430</v>
      </c>
      <c r="I448" s="267">
        <v>128773</v>
      </c>
      <c r="J448" s="267">
        <v>344005</v>
      </c>
    </row>
    <row r="449" spans="1:10" ht="14.1" customHeight="1" x14ac:dyDescent="0.2">
      <c r="A449" s="278"/>
      <c r="B449" s="278"/>
      <c r="C449" s="278"/>
      <c r="D449" s="261" t="s">
        <v>85</v>
      </c>
      <c r="E449" s="267">
        <v>1</v>
      </c>
      <c r="F449" s="267">
        <v>6223</v>
      </c>
      <c r="G449" s="267">
        <v>6223</v>
      </c>
      <c r="H449" s="267">
        <v>2430</v>
      </c>
      <c r="I449" s="267">
        <v>2430</v>
      </c>
      <c r="J449" s="267">
        <v>3793</v>
      </c>
    </row>
    <row r="450" spans="1:10" ht="42.95" customHeight="1" x14ac:dyDescent="0.2">
      <c r="A450" s="278"/>
      <c r="B450" s="278"/>
      <c r="C450" s="277" t="s">
        <v>245</v>
      </c>
      <c r="D450" s="261" t="s">
        <v>102</v>
      </c>
      <c r="E450" s="267">
        <v>23</v>
      </c>
      <c r="F450" s="267">
        <v>97664</v>
      </c>
      <c r="G450" s="267">
        <v>2246267</v>
      </c>
      <c r="H450" s="267">
        <v>1978</v>
      </c>
      <c r="I450" s="267">
        <v>45490</v>
      </c>
      <c r="J450" s="267">
        <v>2200776</v>
      </c>
    </row>
    <row r="451" spans="1:10" ht="14.1" customHeight="1" x14ac:dyDescent="0.2">
      <c r="A451" s="278"/>
      <c r="B451" s="278"/>
      <c r="C451" s="278"/>
      <c r="D451" s="261" t="s">
        <v>92</v>
      </c>
      <c r="E451" s="267">
        <v>955</v>
      </c>
      <c r="F451" s="267">
        <v>31120</v>
      </c>
      <c r="G451" s="267">
        <v>29720005</v>
      </c>
      <c r="H451" s="267">
        <v>1978</v>
      </c>
      <c r="I451" s="267">
        <v>1888839</v>
      </c>
      <c r="J451" s="267">
        <v>27831166</v>
      </c>
    </row>
    <row r="452" spans="1:10" ht="14.1" customHeight="1" x14ac:dyDescent="0.2">
      <c r="A452" s="278"/>
      <c r="B452" s="278"/>
      <c r="C452" s="278"/>
      <c r="D452" s="261" t="s">
        <v>86</v>
      </c>
      <c r="E452" s="267">
        <v>4314</v>
      </c>
      <c r="F452" s="267">
        <v>18898</v>
      </c>
      <c r="G452" s="267">
        <v>81525457</v>
      </c>
      <c r="H452" s="267">
        <v>1978</v>
      </c>
      <c r="I452" s="267">
        <v>8532410</v>
      </c>
      <c r="J452" s="267">
        <v>72993046</v>
      </c>
    </row>
    <row r="453" spans="1:10" ht="14.1" customHeight="1" x14ac:dyDescent="0.2">
      <c r="A453" s="278"/>
      <c r="B453" s="278"/>
      <c r="C453" s="278"/>
      <c r="D453" s="261" t="s">
        <v>87</v>
      </c>
      <c r="E453" s="267">
        <v>6885</v>
      </c>
      <c r="F453" s="267">
        <v>12107</v>
      </c>
      <c r="G453" s="267">
        <v>83356257</v>
      </c>
      <c r="H453" s="267">
        <v>1978</v>
      </c>
      <c r="I453" s="267">
        <v>13617442</v>
      </c>
      <c r="J453" s="267">
        <v>69738815</v>
      </c>
    </row>
    <row r="454" spans="1:10" ht="14.1" customHeight="1" x14ac:dyDescent="0.2">
      <c r="A454" s="278"/>
      <c r="B454" s="278"/>
      <c r="C454" s="278"/>
      <c r="D454" s="261" t="s">
        <v>84</v>
      </c>
      <c r="E454" s="267">
        <v>10455</v>
      </c>
      <c r="F454" s="267">
        <v>8486</v>
      </c>
      <c r="G454" s="267">
        <v>88716416</v>
      </c>
      <c r="H454" s="267">
        <v>1978</v>
      </c>
      <c r="I454" s="267">
        <v>20678338</v>
      </c>
      <c r="J454" s="267">
        <v>68038078</v>
      </c>
    </row>
    <row r="455" spans="1:10" ht="14.1" customHeight="1" x14ac:dyDescent="0.2">
      <c r="A455" s="278"/>
      <c r="B455" s="278"/>
      <c r="C455" s="278"/>
      <c r="D455" s="261" t="s">
        <v>85</v>
      </c>
      <c r="E455" s="267">
        <v>877</v>
      </c>
      <c r="F455" s="267">
        <v>5771</v>
      </c>
      <c r="G455" s="267">
        <v>5060915</v>
      </c>
      <c r="H455" s="267">
        <v>1978</v>
      </c>
      <c r="I455" s="267">
        <v>1734567</v>
      </c>
      <c r="J455" s="267">
        <v>3326348</v>
      </c>
    </row>
    <row r="456" spans="1:10" ht="14.1" customHeight="1" x14ac:dyDescent="0.2">
      <c r="A456" s="278"/>
      <c r="B456" s="278"/>
      <c r="C456" s="278"/>
      <c r="D456" s="261" t="s">
        <v>96</v>
      </c>
      <c r="E456" s="267">
        <v>336</v>
      </c>
      <c r="F456" s="267">
        <v>3507</v>
      </c>
      <c r="G456" s="267">
        <v>1178266</v>
      </c>
      <c r="H456" s="267">
        <v>1978</v>
      </c>
      <c r="I456" s="267">
        <v>664555</v>
      </c>
      <c r="J456" s="267">
        <v>513711</v>
      </c>
    </row>
    <row r="457" spans="1:10" ht="14.1" customHeight="1" x14ac:dyDescent="0.2">
      <c r="A457" s="278"/>
      <c r="B457" s="278"/>
      <c r="C457" s="278"/>
      <c r="D457" s="261" t="s">
        <v>88</v>
      </c>
      <c r="E457" s="267">
        <v>798</v>
      </c>
      <c r="F457" s="267">
        <v>2149</v>
      </c>
      <c r="G457" s="267">
        <v>1715162</v>
      </c>
      <c r="H457" s="267">
        <v>1978</v>
      </c>
      <c r="I457" s="267">
        <v>1578318</v>
      </c>
      <c r="J457" s="267">
        <v>136844</v>
      </c>
    </row>
    <row r="458" spans="1:10" ht="14.1" customHeight="1" x14ac:dyDescent="0.2">
      <c r="A458" s="278" t="s">
        <v>40</v>
      </c>
      <c r="B458" s="278" t="s">
        <v>60</v>
      </c>
      <c r="C458" s="278"/>
      <c r="D458" s="278"/>
      <c r="E458" s="267">
        <v>9547</v>
      </c>
      <c r="F458" s="267"/>
      <c r="G458" s="267">
        <v>140179199</v>
      </c>
      <c r="H458" s="267"/>
      <c r="I458" s="267">
        <v>14823360</v>
      </c>
      <c r="J458" s="267">
        <v>125355839</v>
      </c>
    </row>
    <row r="459" spans="1:10" ht="14.1" customHeight="1" x14ac:dyDescent="0.2">
      <c r="A459" s="278"/>
      <c r="B459" s="261" t="s">
        <v>71</v>
      </c>
      <c r="C459" s="261" t="s">
        <v>72</v>
      </c>
      <c r="D459" s="261" t="s">
        <v>73</v>
      </c>
      <c r="E459" s="284">
        <v>16</v>
      </c>
      <c r="F459" s="284">
        <v>11382</v>
      </c>
      <c r="G459" s="284">
        <v>182119</v>
      </c>
      <c r="H459" s="284">
        <v>0</v>
      </c>
      <c r="I459" s="284">
        <v>0</v>
      </c>
      <c r="J459" s="284">
        <v>182119</v>
      </c>
    </row>
    <row r="460" spans="1:10" ht="14.1" customHeight="1" x14ac:dyDescent="0.2">
      <c r="A460" s="278"/>
      <c r="B460" s="279" t="s">
        <v>74</v>
      </c>
      <c r="C460" s="262" t="s">
        <v>75</v>
      </c>
      <c r="D460" s="261" t="s">
        <v>77</v>
      </c>
      <c r="E460" s="285"/>
      <c r="F460" s="285"/>
      <c r="G460" s="285"/>
      <c r="H460" s="285"/>
      <c r="I460" s="285"/>
      <c r="J460" s="285"/>
    </row>
    <row r="461" spans="1:10" ht="42.95" customHeight="1" x14ac:dyDescent="0.2">
      <c r="A461" s="278"/>
      <c r="B461" s="278"/>
      <c r="C461" s="263" t="s">
        <v>245</v>
      </c>
      <c r="D461" s="261" t="s">
        <v>79</v>
      </c>
      <c r="E461" s="267">
        <v>745</v>
      </c>
      <c r="F461" s="267">
        <v>12172</v>
      </c>
      <c r="G461" s="267">
        <v>9068473</v>
      </c>
      <c r="H461" s="267">
        <v>1978</v>
      </c>
      <c r="I461" s="267">
        <v>1473492</v>
      </c>
      <c r="J461" s="267">
        <v>7594981</v>
      </c>
    </row>
    <row r="462" spans="1:10" ht="42.95" customHeight="1" x14ac:dyDescent="0.2">
      <c r="A462" s="278"/>
      <c r="B462" s="279" t="s">
        <v>89</v>
      </c>
      <c r="C462" s="277" t="s">
        <v>243</v>
      </c>
      <c r="D462" s="261" t="s">
        <v>84</v>
      </c>
      <c r="E462" s="267">
        <v>7</v>
      </c>
      <c r="F462" s="267">
        <v>9165</v>
      </c>
      <c r="G462" s="267">
        <v>64153</v>
      </c>
      <c r="H462" s="267">
        <v>2296</v>
      </c>
      <c r="I462" s="267">
        <v>16073</v>
      </c>
      <c r="J462" s="267">
        <v>48080</v>
      </c>
    </row>
    <row r="463" spans="1:10" ht="14.1" customHeight="1" x14ac:dyDescent="0.2">
      <c r="A463" s="278"/>
      <c r="B463" s="278"/>
      <c r="C463" s="278"/>
      <c r="D463" s="261" t="s">
        <v>105</v>
      </c>
      <c r="E463" s="267">
        <v>37</v>
      </c>
      <c r="F463" s="267">
        <v>9435</v>
      </c>
      <c r="G463" s="267">
        <v>349112</v>
      </c>
      <c r="H463" s="267">
        <v>2567</v>
      </c>
      <c r="I463" s="267">
        <v>94976</v>
      </c>
      <c r="J463" s="267">
        <v>254136</v>
      </c>
    </row>
    <row r="464" spans="1:10" ht="42.95" customHeight="1" x14ac:dyDescent="0.2">
      <c r="A464" s="278"/>
      <c r="B464" s="278"/>
      <c r="C464" s="277" t="s">
        <v>245</v>
      </c>
      <c r="D464" s="261" t="s">
        <v>84</v>
      </c>
      <c r="E464" s="267">
        <v>1760</v>
      </c>
      <c r="F464" s="267">
        <v>8486</v>
      </c>
      <c r="G464" s="267">
        <v>14934566</v>
      </c>
      <c r="H464" s="267">
        <v>1617</v>
      </c>
      <c r="I464" s="267">
        <v>2845951</v>
      </c>
      <c r="J464" s="267">
        <v>12088616</v>
      </c>
    </row>
    <row r="465" spans="1:10" ht="14.1" customHeight="1" x14ac:dyDescent="0.2">
      <c r="A465" s="278"/>
      <c r="B465" s="278"/>
      <c r="C465" s="278"/>
      <c r="D465" s="261" t="s">
        <v>90</v>
      </c>
      <c r="E465" s="267">
        <v>3</v>
      </c>
      <c r="F465" s="267">
        <v>7696</v>
      </c>
      <c r="G465" s="267">
        <v>23087</v>
      </c>
      <c r="H465" s="267">
        <v>827</v>
      </c>
      <c r="I465" s="267">
        <v>2481</v>
      </c>
      <c r="J465" s="267">
        <v>20606</v>
      </c>
    </row>
    <row r="466" spans="1:10" ht="14.1" customHeight="1" x14ac:dyDescent="0.2">
      <c r="A466" s="278"/>
      <c r="B466" s="278"/>
      <c r="C466" s="278"/>
      <c r="D466" s="261" t="s">
        <v>105</v>
      </c>
      <c r="E466" s="267">
        <v>354</v>
      </c>
      <c r="F466" s="267">
        <v>8756</v>
      </c>
      <c r="G466" s="267">
        <v>3099717</v>
      </c>
      <c r="H466" s="267">
        <v>1888</v>
      </c>
      <c r="I466" s="267">
        <v>668257</v>
      </c>
      <c r="J466" s="267">
        <v>2431460</v>
      </c>
    </row>
    <row r="467" spans="1:10" ht="42.95" customHeight="1" x14ac:dyDescent="0.2">
      <c r="A467" s="278"/>
      <c r="B467" s="277" t="s">
        <v>246</v>
      </c>
      <c r="C467" s="280" t="s">
        <v>75</v>
      </c>
      <c r="D467" s="261" t="s">
        <v>99</v>
      </c>
      <c r="E467" s="267">
        <v>1</v>
      </c>
      <c r="F467" s="267">
        <v>30330</v>
      </c>
      <c r="G467" s="267">
        <v>30330</v>
      </c>
      <c r="H467" s="267">
        <v>0</v>
      </c>
      <c r="I467" s="267">
        <v>0</v>
      </c>
      <c r="J467" s="267">
        <v>30330</v>
      </c>
    </row>
    <row r="468" spans="1:10" ht="14.1" customHeight="1" x14ac:dyDescent="0.2">
      <c r="A468" s="278"/>
      <c r="B468" s="278"/>
      <c r="C468" s="278"/>
      <c r="D468" s="261" t="s">
        <v>91</v>
      </c>
      <c r="E468" s="267">
        <v>2</v>
      </c>
      <c r="F468" s="267">
        <v>18108</v>
      </c>
      <c r="G468" s="267">
        <v>36216</v>
      </c>
      <c r="H468" s="267">
        <v>0</v>
      </c>
      <c r="I468" s="267">
        <v>0</v>
      </c>
      <c r="J468" s="267">
        <v>36216</v>
      </c>
    </row>
    <row r="469" spans="1:10" ht="14.1" customHeight="1" x14ac:dyDescent="0.2">
      <c r="A469" s="278"/>
      <c r="B469" s="278"/>
      <c r="C469" s="278"/>
      <c r="D469" s="261" t="s">
        <v>90</v>
      </c>
      <c r="E469" s="267">
        <v>7</v>
      </c>
      <c r="F469" s="267">
        <v>7696</v>
      </c>
      <c r="G469" s="267">
        <v>53869</v>
      </c>
      <c r="H469" s="267">
        <v>0</v>
      </c>
      <c r="I469" s="267">
        <v>0</v>
      </c>
      <c r="J469" s="267">
        <v>53869</v>
      </c>
    </row>
    <row r="470" spans="1:10" ht="14.1" customHeight="1" x14ac:dyDescent="0.2">
      <c r="A470" s="278"/>
      <c r="B470" s="278"/>
      <c r="C470" s="278"/>
      <c r="D470" s="261" t="s">
        <v>100</v>
      </c>
      <c r="E470" s="267">
        <v>1</v>
      </c>
      <c r="F470" s="267">
        <v>4981</v>
      </c>
      <c r="G470" s="267">
        <v>4981</v>
      </c>
      <c r="H470" s="267">
        <v>0</v>
      </c>
      <c r="I470" s="267">
        <v>0</v>
      </c>
      <c r="J470" s="267">
        <v>4981</v>
      </c>
    </row>
    <row r="471" spans="1:10" ht="14.1" customHeight="1" x14ac:dyDescent="0.2">
      <c r="A471" s="278"/>
      <c r="B471" s="278"/>
      <c r="C471" s="278"/>
      <c r="D471" s="261" t="s">
        <v>76</v>
      </c>
      <c r="E471" s="267">
        <v>56</v>
      </c>
      <c r="F471" s="267">
        <v>36385</v>
      </c>
      <c r="G471" s="267">
        <v>2037580</v>
      </c>
      <c r="H471" s="267">
        <v>0</v>
      </c>
      <c r="I471" s="267">
        <v>0</v>
      </c>
      <c r="J471" s="267">
        <v>2037580</v>
      </c>
    </row>
    <row r="472" spans="1:10" ht="14.1" customHeight="1" x14ac:dyDescent="0.2">
      <c r="A472" s="278"/>
      <c r="B472" s="278"/>
      <c r="C472" s="278"/>
      <c r="D472" s="261" t="s">
        <v>151</v>
      </c>
      <c r="E472" s="267">
        <v>15</v>
      </c>
      <c r="F472" s="267">
        <v>5752</v>
      </c>
      <c r="G472" s="267">
        <v>86286</v>
      </c>
      <c r="H472" s="267">
        <v>0</v>
      </c>
      <c r="I472" s="267">
        <v>0</v>
      </c>
      <c r="J472" s="267">
        <v>86286</v>
      </c>
    </row>
    <row r="473" spans="1:10" ht="42.95" customHeight="1" x14ac:dyDescent="0.2">
      <c r="A473" s="278"/>
      <c r="B473" s="278"/>
      <c r="C473" s="277" t="s">
        <v>243</v>
      </c>
      <c r="D473" s="261" t="s">
        <v>84</v>
      </c>
      <c r="E473" s="267">
        <v>3</v>
      </c>
      <c r="F473" s="267">
        <v>9165</v>
      </c>
      <c r="G473" s="267">
        <v>27494</v>
      </c>
      <c r="H473" s="267">
        <v>1469</v>
      </c>
      <c r="I473" s="267">
        <v>4408</v>
      </c>
      <c r="J473" s="267">
        <v>23087</v>
      </c>
    </row>
    <row r="474" spans="1:10" ht="14.1" customHeight="1" x14ac:dyDescent="0.2">
      <c r="A474" s="278"/>
      <c r="B474" s="278"/>
      <c r="C474" s="278"/>
      <c r="D474" s="261" t="s">
        <v>88</v>
      </c>
      <c r="E474" s="267">
        <v>1</v>
      </c>
      <c r="F474" s="267">
        <v>2829</v>
      </c>
      <c r="G474" s="267">
        <v>2829</v>
      </c>
      <c r="H474" s="267">
        <v>1469</v>
      </c>
      <c r="I474" s="267">
        <v>1469</v>
      </c>
      <c r="J474" s="267">
        <v>1359</v>
      </c>
    </row>
    <row r="475" spans="1:10" ht="14.1" customHeight="1" x14ac:dyDescent="0.2">
      <c r="A475" s="278"/>
      <c r="B475" s="278"/>
      <c r="C475" s="278"/>
      <c r="D475" s="261" t="s">
        <v>78</v>
      </c>
      <c r="E475" s="267">
        <v>11</v>
      </c>
      <c r="F475" s="267">
        <v>37855</v>
      </c>
      <c r="G475" s="267">
        <v>416400</v>
      </c>
      <c r="H475" s="267">
        <v>1469</v>
      </c>
      <c r="I475" s="267">
        <v>16161</v>
      </c>
      <c r="J475" s="267">
        <v>400239</v>
      </c>
    </row>
    <row r="476" spans="1:10" ht="14.1" customHeight="1" x14ac:dyDescent="0.2">
      <c r="A476" s="278"/>
      <c r="B476" s="278"/>
      <c r="C476" s="278"/>
      <c r="D476" s="261" t="s">
        <v>153</v>
      </c>
      <c r="E476" s="267">
        <v>16</v>
      </c>
      <c r="F476" s="267">
        <v>5831</v>
      </c>
      <c r="G476" s="267">
        <v>93303</v>
      </c>
      <c r="H476" s="267">
        <v>1469</v>
      </c>
      <c r="I476" s="267">
        <v>23507</v>
      </c>
      <c r="J476" s="267">
        <v>69796</v>
      </c>
    </row>
    <row r="477" spans="1:10" ht="42.95" customHeight="1" x14ac:dyDescent="0.2">
      <c r="A477" s="278"/>
      <c r="B477" s="278"/>
      <c r="C477" s="263" t="s">
        <v>244</v>
      </c>
      <c r="D477" s="261" t="s">
        <v>153</v>
      </c>
      <c r="E477" s="267">
        <v>4</v>
      </c>
      <c r="F477" s="267">
        <v>5604</v>
      </c>
      <c r="G477" s="267">
        <v>22416</v>
      </c>
      <c r="H477" s="267">
        <v>1242</v>
      </c>
      <c r="I477" s="267">
        <v>4967</v>
      </c>
      <c r="J477" s="267">
        <v>17449</v>
      </c>
    </row>
    <row r="478" spans="1:10" ht="42.95" customHeight="1" x14ac:dyDescent="0.2">
      <c r="A478" s="278"/>
      <c r="B478" s="278"/>
      <c r="C478" s="277" t="s">
        <v>245</v>
      </c>
      <c r="D478" s="261" t="s">
        <v>83</v>
      </c>
      <c r="E478" s="267">
        <v>1</v>
      </c>
      <c r="F478" s="267">
        <v>2773</v>
      </c>
      <c r="G478" s="267">
        <v>2773</v>
      </c>
      <c r="H478" s="267">
        <v>790</v>
      </c>
      <c r="I478" s="267">
        <v>790</v>
      </c>
      <c r="J478" s="267">
        <v>1983</v>
      </c>
    </row>
    <row r="479" spans="1:10" ht="14.1" customHeight="1" x14ac:dyDescent="0.2">
      <c r="A479" s="278"/>
      <c r="B479" s="278"/>
      <c r="C479" s="278"/>
      <c r="D479" s="261" t="s">
        <v>92</v>
      </c>
      <c r="E479" s="267">
        <v>45</v>
      </c>
      <c r="F479" s="267">
        <v>31120</v>
      </c>
      <c r="G479" s="267">
        <v>1400419</v>
      </c>
      <c r="H479" s="267">
        <v>790</v>
      </c>
      <c r="I479" s="267">
        <v>35549</v>
      </c>
      <c r="J479" s="267">
        <v>1364870</v>
      </c>
    </row>
    <row r="480" spans="1:10" ht="14.1" customHeight="1" x14ac:dyDescent="0.2">
      <c r="A480" s="278"/>
      <c r="B480" s="278"/>
      <c r="C480" s="278"/>
      <c r="D480" s="261" t="s">
        <v>86</v>
      </c>
      <c r="E480" s="267">
        <v>449</v>
      </c>
      <c r="F480" s="267">
        <v>18898</v>
      </c>
      <c r="G480" s="267">
        <v>8485148</v>
      </c>
      <c r="H480" s="267">
        <v>790</v>
      </c>
      <c r="I480" s="267">
        <v>354701</v>
      </c>
      <c r="J480" s="267">
        <v>8130447</v>
      </c>
    </row>
    <row r="481" spans="1:10" ht="14.1" customHeight="1" x14ac:dyDescent="0.2">
      <c r="A481" s="278"/>
      <c r="B481" s="278"/>
      <c r="C481" s="278"/>
      <c r="D481" s="261" t="s">
        <v>87</v>
      </c>
      <c r="E481" s="267">
        <v>1</v>
      </c>
      <c r="F481" s="267">
        <v>12107</v>
      </c>
      <c r="G481" s="267">
        <v>12107</v>
      </c>
      <c r="H481" s="267">
        <v>790</v>
      </c>
      <c r="I481" s="267">
        <v>790</v>
      </c>
      <c r="J481" s="267">
        <v>11317</v>
      </c>
    </row>
    <row r="482" spans="1:10" ht="14.1" customHeight="1" x14ac:dyDescent="0.2">
      <c r="A482" s="278"/>
      <c r="B482" s="278"/>
      <c r="C482" s="278"/>
      <c r="D482" s="261" t="s">
        <v>84</v>
      </c>
      <c r="E482" s="267">
        <v>416</v>
      </c>
      <c r="F482" s="267">
        <v>8486</v>
      </c>
      <c r="G482" s="267">
        <v>3529988</v>
      </c>
      <c r="H482" s="267">
        <v>790</v>
      </c>
      <c r="I482" s="267">
        <v>328632</v>
      </c>
      <c r="J482" s="267">
        <v>3201356</v>
      </c>
    </row>
    <row r="483" spans="1:10" ht="14.1" customHeight="1" x14ac:dyDescent="0.2">
      <c r="A483" s="278"/>
      <c r="B483" s="278"/>
      <c r="C483" s="278"/>
      <c r="D483" s="261" t="s">
        <v>96</v>
      </c>
      <c r="E483" s="267">
        <v>19</v>
      </c>
      <c r="F483" s="267">
        <v>3507</v>
      </c>
      <c r="G483" s="267">
        <v>66628</v>
      </c>
      <c r="H483" s="267">
        <v>790</v>
      </c>
      <c r="I483" s="267">
        <v>15010</v>
      </c>
      <c r="J483" s="267">
        <v>51618</v>
      </c>
    </row>
    <row r="484" spans="1:10" ht="14.1" customHeight="1" x14ac:dyDescent="0.2">
      <c r="A484" s="278"/>
      <c r="B484" s="278"/>
      <c r="C484" s="278"/>
      <c r="D484" s="261" t="s">
        <v>88</v>
      </c>
      <c r="E484" s="267">
        <v>30</v>
      </c>
      <c r="F484" s="267">
        <v>2149</v>
      </c>
      <c r="G484" s="267">
        <v>64480</v>
      </c>
      <c r="H484" s="267">
        <v>790</v>
      </c>
      <c r="I484" s="267">
        <v>23699</v>
      </c>
      <c r="J484" s="267">
        <v>40780</v>
      </c>
    </row>
    <row r="485" spans="1:10" ht="14.1" customHeight="1" x14ac:dyDescent="0.2">
      <c r="A485" s="278"/>
      <c r="B485" s="278"/>
      <c r="C485" s="278"/>
      <c r="D485" s="261" t="s">
        <v>78</v>
      </c>
      <c r="E485" s="267">
        <v>1472</v>
      </c>
      <c r="F485" s="267">
        <v>37175</v>
      </c>
      <c r="G485" s="267">
        <v>54722096</v>
      </c>
      <c r="H485" s="267">
        <v>790</v>
      </c>
      <c r="I485" s="267">
        <v>1162852</v>
      </c>
      <c r="J485" s="267">
        <v>53559245</v>
      </c>
    </row>
    <row r="486" spans="1:10" ht="14.1" customHeight="1" x14ac:dyDescent="0.2">
      <c r="A486" s="278"/>
      <c r="B486" s="278"/>
      <c r="C486" s="278"/>
      <c r="D486" s="261" t="s">
        <v>153</v>
      </c>
      <c r="E486" s="267">
        <v>240</v>
      </c>
      <c r="F486" s="267">
        <v>5152</v>
      </c>
      <c r="G486" s="267">
        <v>1236532</v>
      </c>
      <c r="H486" s="267">
        <v>790</v>
      </c>
      <c r="I486" s="267">
        <v>189595</v>
      </c>
      <c r="J486" s="267">
        <v>1046936</v>
      </c>
    </row>
    <row r="487" spans="1:10" ht="14.1" customHeight="1" x14ac:dyDescent="0.2">
      <c r="A487" s="278"/>
      <c r="B487" s="278"/>
      <c r="C487" s="278"/>
      <c r="D487" s="261" t="s">
        <v>154</v>
      </c>
      <c r="E487" s="267">
        <v>15</v>
      </c>
      <c r="F487" s="267">
        <v>6542</v>
      </c>
      <c r="G487" s="267">
        <v>98136</v>
      </c>
      <c r="H487" s="267">
        <v>790</v>
      </c>
      <c r="I487" s="267">
        <v>11850</v>
      </c>
      <c r="J487" s="267">
        <v>86286</v>
      </c>
    </row>
    <row r="488" spans="1:10" ht="29.1" customHeight="1" x14ac:dyDescent="0.2">
      <c r="A488" s="278"/>
      <c r="B488" s="277" t="s">
        <v>247</v>
      </c>
      <c r="C488" s="280" t="s">
        <v>75</v>
      </c>
      <c r="D488" s="261" t="s">
        <v>91</v>
      </c>
      <c r="E488" s="267">
        <v>2</v>
      </c>
      <c r="F488" s="267">
        <v>18108</v>
      </c>
      <c r="G488" s="267">
        <v>36216</v>
      </c>
      <c r="H488" s="267">
        <v>1188</v>
      </c>
      <c r="I488" s="267">
        <v>2376</v>
      </c>
      <c r="J488" s="267">
        <v>33840</v>
      </c>
    </row>
    <row r="489" spans="1:10" ht="14.1" customHeight="1" x14ac:dyDescent="0.2">
      <c r="A489" s="278"/>
      <c r="B489" s="278"/>
      <c r="C489" s="278"/>
      <c r="D489" s="261" t="s">
        <v>97</v>
      </c>
      <c r="E489" s="267">
        <v>5</v>
      </c>
      <c r="F489" s="267">
        <v>11317</v>
      </c>
      <c r="G489" s="267">
        <v>56585</v>
      </c>
      <c r="H489" s="267">
        <v>1188</v>
      </c>
      <c r="I489" s="267">
        <v>5939</v>
      </c>
      <c r="J489" s="267">
        <v>50645</v>
      </c>
    </row>
    <row r="490" spans="1:10" ht="14.1" customHeight="1" x14ac:dyDescent="0.2">
      <c r="A490" s="278"/>
      <c r="B490" s="278"/>
      <c r="C490" s="278"/>
      <c r="D490" s="261" t="s">
        <v>90</v>
      </c>
      <c r="E490" s="267">
        <v>8</v>
      </c>
      <c r="F490" s="267">
        <v>7696</v>
      </c>
      <c r="G490" s="267">
        <v>61565</v>
      </c>
      <c r="H490" s="267">
        <v>1188</v>
      </c>
      <c r="I490" s="267">
        <v>9503</v>
      </c>
      <c r="J490" s="267">
        <v>52062</v>
      </c>
    </row>
    <row r="491" spans="1:10" ht="14.1" customHeight="1" x14ac:dyDescent="0.2">
      <c r="A491" s="278"/>
      <c r="B491" s="278"/>
      <c r="C491" s="278"/>
      <c r="D491" s="261" t="s">
        <v>100</v>
      </c>
      <c r="E491" s="267">
        <v>1</v>
      </c>
      <c r="F491" s="267">
        <v>4981</v>
      </c>
      <c r="G491" s="267">
        <v>4981</v>
      </c>
      <c r="H491" s="267">
        <v>1188</v>
      </c>
      <c r="I491" s="267">
        <v>1188</v>
      </c>
      <c r="J491" s="267">
        <v>3793</v>
      </c>
    </row>
    <row r="492" spans="1:10" ht="42.95" customHeight="1" x14ac:dyDescent="0.2">
      <c r="A492" s="278"/>
      <c r="B492" s="278"/>
      <c r="C492" s="277" t="s">
        <v>243</v>
      </c>
      <c r="D492" s="261" t="s">
        <v>86</v>
      </c>
      <c r="E492" s="267">
        <v>1</v>
      </c>
      <c r="F492" s="267">
        <v>19577</v>
      </c>
      <c r="G492" s="267">
        <v>19577</v>
      </c>
      <c r="H492" s="267">
        <v>2657</v>
      </c>
      <c r="I492" s="267">
        <v>2657</v>
      </c>
      <c r="J492" s="267">
        <v>16920</v>
      </c>
    </row>
    <row r="493" spans="1:10" ht="14.1" customHeight="1" x14ac:dyDescent="0.2">
      <c r="A493" s="278"/>
      <c r="B493" s="278"/>
      <c r="C493" s="278"/>
      <c r="D493" s="261" t="s">
        <v>84</v>
      </c>
      <c r="E493" s="267">
        <v>7</v>
      </c>
      <c r="F493" s="267">
        <v>9165</v>
      </c>
      <c r="G493" s="267">
        <v>64153</v>
      </c>
      <c r="H493" s="267">
        <v>2657</v>
      </c>
      <c r="I493" s="267">
        <v>18599</v>
      </c>
      <c r="J493" s="267">
        <v>45554</v>
      </c>
    </row>
    <row r="494" spans="1:10" ht="42.95" customHeight="1" x14ac:dyDescent="0.2">
      <c r="A494" s="278"/>
      <c r="B494" s="278"/>
      <c r="C494" s="277" t="s">
        <v>245</v>
      </c>
      <c r="D494" s="261" t="s">
        <v>92</v>
      </c>
      <c r="E494" s="267">
        <v>192</v>
      </c>
      <c r="F494" s="267">
        <v>31120</v>
      </c>
      <c r="G494" s="267">
        <v>5975121</v>
      </c>
      <c r="H494" s="267">
        <v>1978</v>
      </c>
      <c r="I494" s="267">
        <v>379746</v>
      </c>
      <c r="J494" s="267">
        <v>5595376</v>
      </c>
    </row>
    <row r="495" spans="1:10" ht="14.1" customHeight="1" x14ac:dyDescent="0.2">
      <c r="A495" s="278"/>
      <c r="B495" s="278"/>
      <c r="C495" s="278"/>
      <c r="D495" s="261" t="s">
        <v>86</v>
      </c>
      <c r="E495" s="267">
        <v>334</v>
      </c>
      <c r="F495" s="267">
        <v>18898</v>
      </c>
      <c r="G495" s="267">
        <v>6311892</v>
      </c>
      <c r="H495" s="267">
        <v>1978</v>
      </c>
      <c r="I495" s="267">
        <v>660599</v>
      </c>
      <c r="J495" s="267">
        <v>5651293</v>
      </c>
    </row>
    <row r="496" spans="1:10" ht="14.1" customHeight="1" x14ac:dyDescent="0.2">
      <c r="A496" s="278"/>
      <c r="B496" s="278"/>
      <c r="C496" s="278"/>
      <c r="D496" s="261" t="s">
        <v>87</v>
      </c>
      <c r="E496" s="267">
        <v>489</v>
      </c>
      <c r="F496" s="267">
        <v>12107</v>
      </c>
      <c r="G496" s="267">
        <v>5920292</v>
      </c>
      <c r="H496" s="267">
        <v>1978</v>
      </c>
      <c r="I496" s="267">
        <v>967165</v>
      </c>
      <c r="J496" s="267">
        <v>4953127</v>
      </c>
    </row>
    <row r="497" spans="1:10" ht="14.1" customHeight="1" x14ac:dyDescent="0.2">
      <c r="A497" s="278"/>
      <c r="B497" s="278"/>
      <c r="C497" s="278"/>
      <c r="D497" s="261" t="s">
        <v>84</v>
      </c>
      <c r="E497" s="267">
        <v>2377</v>
      </c>
      <c r="F497" s="267">
        <v>8486</v>
      </c>
      <c r="G497" s="267">
        <v>20170150</v>
      </c>
      <c r="H497" s="267">
        <v>1978</v>
      </c>
      <c r="I497" s="267">
        <v>4701330</v>
      </c>
      <c r="J497" s="267">
        <v>15468820</v>
      </c>
    </row>
    <row r="498" spans="1:10" ht="14.1" customHeight="1" x14ac:dyDescent="0.2">
      <c r="A498" s="278"/>
      <c r="B498" s="278"/>
      <c r="C498" s="278"/>
      <c r="D498" s="261" t="s">
        <v>85</v>
      </c>
      <c r="E498" s="267">
        <v>129</v>
      </c>
      <c r="F498" s="267">
        <v>5771</v>
      </c>
      <c r="G498" s="267">
        <v>744422</v>
      </c>
      <c r="H498" s="267">
        <v>1978</v>
      </c>
      <c r="I498" s="267">
        <v>255142</v>
      </c>
      <c r="J498" s="267">
        <v>489280</v>
      </c>
    </row>
    <row r="499" spans="1:10" ht="14.1" customHeight="1" x14ac:dyDescent="0.2">
      <c r="A499" s="278"/>
      <c r="B499" s="278"/>
      <c r="C499" s="278"/>
      <c r="D499" s="261" t="s">
        <v>96</v>
      </c>
      <c r="E499" s="267">
        <v>53</v>
      </c>
      <c r="F499" s="267">
        <v>3507</v>
      </c>
      <c r="G499" s="267">
        <v>185857</v>
      </c>
      <c r="H499" s="267">
        <v>1978</v>
      </c>
      <c r="I499" s="267">
        <v>104826</v>
      </c>
      <c r="J499" s="267">
        <v>81032</v>
      </c>
    </row>
    <row r="500" spans="1:10" ht="14.1" customHeight="1" x14ac:dyDescent="0.2">
      <c r="A500" s="278"/>
      <c r="B500" s="278"/>
      <c r="C500" s="278"/>
      <c r="D500" s="261" t="s">
        <v>88</v>
      </c>
      <c r="E500" s="267">
        <v>222</v>
      </c>
      <c r="F500" s="267">
        <v>2149</v>
      </c>
      <c r="G500" s="267">
        <v>477150</v>
      </c>
      <c r="H500" s="267">
        <v>1978</v>
      </c>
      <c r="I500" s="267">
        <v>439081</v>
      </c>
      <c r="J500" s="267">
        <v>38069</v>
      </c>
    </row>
    <row r="501" spans="1:10" ht="14.1" customHeight="1" x14ac:dyDescent="0.2">
      <c r="A501" s="278" t="s">
        <v>8</v>
      </c>
      <c r="B501" s="278" t="s">
        <v>60</v>
      </c>
      <c r="C501" s="278"/>
      <c r="D501" s="278"/>
      <c r="E501" s="267">
        <v>8425</v>
      </c>
      <c r="F501" s="267"/>
      <c r="G501" s="267">
        <v>154532272</v>
      </c>
      <c r="H501" s="267"/>
      <c r="I501" s="267">
        <v>10986867</v>
      </c>
      <c r="J501" s="267">
        <v>143545405</v>
      </c>
    </row>
    <row r="502" spans="1:10" ht="14.1" customHeight="1" x14ac:dyDescent="0.2">
      <c r="A502" s="278"/>
      <c r="B502" s="261" t="s">
        <v>71</v>
      </c>
      <c r="C502" s="261" t="s">
        <v>72</v>
      </c>
      <c r="D502" s="261" t="s">
        <v>73</v>
      </c>
      <c r="E502" s="284">
        <v>5</v>
      </c>
      <c r="F502" s="284">
        <v>11382</v>
      </c>
      <c r="G502" s="284">
        <v>56912</v>
      </c>
      <c r="H502" s="284">
        <v>0</v>
      </c>
      <c r="I502" s="284">
        <v>0</v>
      </c>
      <c r="J502" s="284">
        <v>56912</v>
      </c>
    </row>
    <row r="503" spans="1:10" ht="14.1" customHeight="1" x14ac:dyDescent="0.2">
      <c r="A503" s="278"/>
      <c r="B503" s="279" t="s">
        <v>74</v>
      </c>
      <c r="C503" s="262" t="s">
        <v>75</v>
      </c>
      <c r="D503" s="261" t="s">
        <v>77</v>
      </c>
      <c r="E503" s="285"/>
      <c r="F503" s="285"/>
      <c r="G503" s="285"/>
      <c r="H503" s="285"/>
      <c r="I503" s="285"/>
      <c r="J503" s="285"/>
    </row>
    <row r="504" spans="1:10" ht="42.95" customHeight="1" x14ac:dyDescent="0.2">
      <c r="A504" s="278"/>
      <c r="B504" s="278"/>
      <c r="C504" s="263" t="s">
        <v>243</v>
      </c>
      <c r="D504" s="261" t="s">
        <v>79</v>
      </c>
      <c r="E504" s="267">
        <v>18</v>
      </c>
      <c r="F504" s="267">
        <v>12852</v>
      </c>
      <c r="G504" s="267">
        <v>231329</v>
      </c>
      <c r="H504" s="267">
        <v>2657</v>
      </c>
      <c r="I504" s="267">
        <v>47827</v>
      </c>
      <c r="J504" s="267">
        <v>183503</v>
      </c>
    </row>
    <row r="505" spans="1:10" ht="42.95" customHeight="1" x14ac:dyDescent="0.2">
      <c r="A505" s="278"/>
      <c r="B505" s="278"/>
      <c r="C505" s="263" t="s">
        <v>245</v>
      </c>
      <c r="D505" s="261" t="s">
        <v>79</v>
      </c>
      <c r="E505" s="267">
        <v>694</v>
      </c>
      <c r="F505" s="267">
        <v>12172</v>
      </c>
      <c r="G505" s="267">
        <v>8447678</v>
      </c>
      <c r="H505" s="267">
        <v>1978</v>
      </c>
      <c r="I505" s="267">
        <v>1372622</v>
      </c>
      <c r="J505" s="267">
        <v>7075056</v>
      </c>
    </row>
    <row r="506" spans="1:10" ht="42.95" customHeight="1" x14ac:dyDescent="0.2">
      <c r="A506" s="278"/>
      <c r="B506" s="277" t="s">
        <v>246</v>
      </c>
      <c r="C506" s="280" t="s">
        <v>75</v>
      </c>
      <c r="D506" s="261" t="s">
        <v>99</v>
      </c>
      <c r="E506" s="267">
        <v>2</v>
      </c>
      <c r="F506" s="267">
        <v>30330</v>
      </c>
      <c r="G506" s="267">
        <v>60661</v>
      </c>
      <c r="H506" s="267">
        <v>0</v>
      </c>
      <c r="I506" s="267">
        <v>0</v>
      </c>
      <c r="J506" s="267">
        <v>60661</v>
      </c>
    </row>
    <row r="507" spans="1:10" ht="14.1" customHeight="1" x14ac:dyDescent="0.2">
      <c r="A507" s="278"/>
      <c r="B507" s="278"/>
      <c r="C507" s="278"/>
      <c r="D507" s="261" t="s">
        <v>91</v>
      </c>
      <c r="E507" s="267">
        <v>50</v>
      </c>
      <c r="F507" s="267">
        <v>18108</v>
      </c>
      <c r="G507" s="267">
        <v>905395</v>
      </c>
      <c r="H507" s="267">
        <v>0</v>
      </c>
      <c r="I507" s="267">
        <v>0</v>
      </c>
      <c r="J507" s="267">
        <v>905395</v>
      </c>
    </row>
    <row r="508" spans="1:10" ht="14.1" customHeight="1" x14ac:dyDescent="0.2">
      <c r="A508" s="278"/>
      <c r="B508" s="278"/>
      <c r="C508" s="278"/>
      <c r="D508" s="261" t="s">
        <v>97</v>
      </c>
      <c r="E508" s="267">
        <v>1</v>
      </c>
      <c r="F508" s="267">
        <v>11317</v>
      </c>
      <c r="G508" s="267">
        <v>11317</v>
      </c>
      <c r="H508" s="267">
        <v>0</v>
      </c>
      <c r="I508" s="267">
        <v>0</v>
      </c>
      <c r="J508" s="267">
        <v>11317</v>
      </c>
    </row>
    <row r="509" spans="1:10" ht="14.1" customHeight="1" x14ac:dyDescent="0.2">
      <c r="A509" s="278"/>
      <c r="B509" s="278"/>
      <c r="C509" s="278"/>
      <c r="D509" s="261" t="s">
        <v>90</v>
      </c>
      <c r="E509" s="267">
        <v>5</v>
      </c>
      <c r="F509" s="267">
        <v>7696</v>
      </c>
      <c r="G509" s="267">
        <v>38478</v>
      </c>
      <c r="H509" s="267">
        <v>0</v>
      </c>
      <c r="I509" s="267">
        <v>0</v>
      </c>
      <c r="J509" s="267">
        <v>38478</v>
      </c>
    </row>
    <row r="510" spans="1:10" ht="14.1" customHeight="1" x14ac:dyDescent="0.2">
      <c r="A510" s="278"/>
      <c r="B510" s="278"/>
      <c r="C510" s="278"/>
      <c r="D510" s="261" t="s">
        <v>76</v>
      </c>
      <c r="E510" s="267">
        <v>14</v>
      </c>
      <c r="F510" s="267">
        <v>36385</v>
      </c>
      <c r="G510" s="267">
        <v>509395</v>
      </c>
      <c r="H510" s="267">
        <v>0</v>
      </c>
      <c r="I510" s="267">
        <v>0</v>
      </c>
      <c r="J510" s="267">
        <v>509395</v>
      </c>
    </row>
    <row r="511" spans="1:10" ht="14.1" customHeight="1" x14ac:dyDescent="0.2">
      <c r="A511" s="278"/>
      <c r="B511" s="278"/>
      <c r="C511" s="278"/>
      <c r="D511" s="261" t="s">
        <v>151</v>
      </c>
      <c r="E511" s="267">
        <v>51</v>
      </c>
      <c r="F511" s="267">
        <v>5752</v>
      </c>
      <c r="G511" s="267">
        <v>293373</v>
      </c>
      <c r="H511" s="267">
        <v>0</v>
      </c>
      <c r="I511" s="267">
        <v>0</v>
      </c>
      <c r="J511" s="267">
        <v>293373</v>
      </c>
    </row>
    <row r="512" spans="1:10" ht="42.95" customHeight="1" x14ac:dyDescent="0.2">
      <c r="A512" s="278"/>
      <c r="B512" s="278"/>
      <c r="C512" s="277" t="s">
        <v>243</v>
      </c>
      <c r="D512" s="261" t="s">
        <v>92</v>
      </c>
      <c r="E512" s="267">
        <v>2</v>
      </c>
      <c r="F512" s="267">
        <v>31800</v>
      </c>
      <c r="G512" s="267">
        <v>63599</v>
      </c>
      <c r="H512" s="267">
        <v>1469</v>
      </c>
      <c r="I512" s="267">
        <v>2938</v>
      </c>
      <c r="J512" s="267">
        <v>60661</v>
      </c>
    </row>
    <row r="513" spans="1:10" ht="14.1" customHeight="1" x14ac:dyDescent="0.2">
      <c r="A513" s="278"/>
      <c r="B513" s="278"/>
      <c r="C513" s="278"/>
      <c r="D513" s="261" t="s">
        <v>86</v>
      </c>
      <c r="E513" s="267">
        <v>3</v>
      </c>
      <c r="F513" s="267">
        <v>19577</v>
      </c>
      <c r="G513" s="267">
        <v>58731</v>
      </c>
      <c r="H513" s="267">
        <v>1469</v>
      </c>
      <c r="I513" s="267">
        <v>4408</v>
      </c>
      <c r="J513" s="267">
        <v>54324</v>
      </c>
    </row>
    <row r="514" spans="1:10" ht="14.1" customHeight="1" x14ac:dyDescent="0.2">
      <c r="A514" s="278"/>
      <c r="B514" s="278"/>
      <c r="C514" s="278"/>
      <c r="D514" s="261" t="s">
        <v>87</v>
      </c>
      <c r="E514" s="267">
        <v>1</v>
      </c>
      <c r="F514" s="267">
        <v>12786</v>
      </c>
      <c r="G514" s="267">
        <v>12786</v>
      </c>
      <c r="H514" s="267">
        <v>1469</v>
      </c>
      <c r="I514" s="267">
        <v>1469</v>
      </c>
      <c r="J514" s="267">
        <v>11317</v>
      </c>
    </row>
    <row r="515" spans="1:10" ht="14.1" customHeight="1" x14ac:dyDescent="0.2">
      <c r="A515" s="278"/>
      <c r="B515" s="278"/>
      <c r="C515" s="278"/>
      <c r="D515" s="261" t="s">
        <v>84</v>
      </c>
      <c r="E515" s="267">
        <v>4</v>
      </c>
      <c r="F515" s="267">
        <v>9165</v>
      </c>
      <c r="G515" s="267">
        <v>36659</v>
      </c>
      <c r="H515" s="267">
        <v>1469</v>
      </c>
      <c r="I515" s="267">
        <v>5877</v>
      </c>
      <c r="J515" s="267">
        <v>30782</v>
      </c>
    </row>
    <row r="516" spans="1:10" ht="14.1" customHeight="1" x14ac:dyDescent="0.2">
      <c r="A516" s="278"/>
      <c r="B516" s="278"/>
      <c r="C516" s="278"/>
      <c r="D516" s="261" t="s">
        <v>78</v>
      </c>
      <c r="E516" s="267">
        <v>8</v>
      </c>
      <c r="F516" s="267">
        <v>37855</v>
      </c>
      <c r="G516" s="267">
        <v>302836</v>
      </c>
      <c r="H516" s="267">
        <v>1469</v>
      </c>
      <c r="I516" s="267">
        <v>11753</v>
      </c>
      <c r="J516" s="267">
        <v>291083</v>
      </c>
    </row>
    <row r="517" spans="1:10" ht="14.1" customHeight="1" x14ac:dyDescent="0.2">
      <c r="A517" s="278"/>
      <c r="B517" s="278"/>
      <c r="C517" s="278"/>
      <c r="D517" s="261" t="s">
        <v>154</v>
      </c>
      <c r="E517" s="267">
        <v>3</v>
      </c>
      <c r="F517" s="267">
        <v>7222</v>
      </c>
      <c r="G517" s="267">
        <v>21665</v>
      </c>
      <c r="H517" s="267">
        <v>1469</v>
      </c>
      <c r="I517" s="267">
        <v>4408</v>
      </c>
      <c r="J517" s="267">
        <v>17257</v>
      </c>
    </row>
    <row r="518" spans="1:10" ht="42.95" customHeight="1" x14ac:dyDescent="0.2">
      <c r="A518" s="278"/>
      <c r="B518" s="278"/>
      <c r="C518" s="263" t="s">
        <v>244</v>
      </c>
      <c r="D518" s="261" t="s">
        <v>153</v>
      </c>
      <c r="E518" s="267">
        <v>7</v>
      </c>
      <c r="F518" s="267">
        <v>5539</v>
      </c>
      <c r="G518" s="267">
        <v>38776</v>
      </c>
      <c r="H518" s="267">
        <v>1242</v>
      </c>
      <c r="I518" s="267">
        <v>8693</v>
      </c>
      <c r="J518" s="267">
        <v>30084</v>
      </c>
    </row>
    <row r="519" spans="1:10" ht="42.95" customHeight="1" x14ac:dyDescent="0.2">
      <c r="A519" s="278"/>
      <c r="B519" s="278"/>
      <c r="C519" s="277" t="s">
        <v>245</v>
      </c>
      <c r="D519" s="261" t="s">
        <v>118</v>
      </c>
      <c r="E519" s="267">
        <v>2</v>
      </c>
      <c r="F519" s="267">
        <v>51490</v>
      </c>
      <c r="G519" s="267">
        <v>102981</v>
      </c>
      <c r="H519" s="267">
        <v>790</v>
      </c>
      <c r="I519" s="267">
        <v>1580</v>
      </c>
      <c r="J519" s="267">
        <v>101401</v>
      </c>
    </row>
    <row r="520" spans="1:10" ht="14.1" customHeight="1" x14ac:dyDescent="0.2">
      <c r="A520" s="278"/>
      <c r="B520" s="278"/>
      <c r="C520" s="278"/>
      <c r="D520" s="261" t="s">
        <v>92</v>
      </c>
      <c r="E520" s="267">
        <v>498</v>
      </c>
      <c r="F520" s="267">
        <v>31120</v>
      </c>
      <c r="G520" s="267">
        <v>15497971</v>
      </c>
      <c r="H520" s="267">
        <v>790</v>
      </c>
      <c r="I520" s="267">
        <v>393410</v>
      </c>
      <c r="J520" s="267">
        <v>15104561</v>
      </c>
    </row>
    <row r="521" spans="1:10" ht="14.1" customHeight="1" x14ac:dyDescent="0.2">
      <c r="A521" s="278"/>
      <c r="B521" s="278"/>
      <c r="C521" s="278"/>
      <c r="D521" s="261" t="s">
        <v>86</v>
      </c>
      <c r="E521" s="267">
        <v>1219</v>
      </c>
      <c r="F521" s="267">
        <v>18898</v>
      </c>
      <c r="G521" s="267">
        <v>23036516</v>
      </c>
      <c r="H521" s="267">
        <v>790</v>
      </c>
      <c r="I521" s="267">
        <v>962987</v>
      </c>
      <c r="J521" s="267">
        <v>22073530</v>
      </c>
    </row>
    <row r="522" spans="1:10" ht="14.1" customHeight="1" x14ac:dyDescent="0.2">
      <c r="A522" s="278"/>
      <c r="B522" s="278"/>
      <c r="C522" s="278"/>
      <c r="D522" s="261" t="s">
        <v>87</v>
      </c>
      <c r="E522" s="267">
        <v>540</v>
      </c>
      <c r="F522" s="267">
        <v>12107</v>
      </c>
      <c r="G522" s="267">
        <v>6537746</v>
      </c>
      <c r="H522" s="267">
        <v>790</v>
      </c>
      <c r="I522" s="267">
        <v>426590</v>
      </c>
      <c r="J522" s="267">
        <v>6111156</v>
      </c>
    </row>
    <row r="523" spans="1:10" ht="14.1" customHeight="1" x14ac:dyDescent="0.2">
      <c r="A523" s="278"/>
      <c r="B523" s="278"/>
      <c r="C523" s="278"/>
      <c r="D523" s="261" t="s">
        <v>84</v>
      </c>
      <c r="E523" s="267">
        <v>291</v>
      </c>
      <c r="F523" s="267">
        <v>8490</v>
      </c>
      <c r="G523" s="267">
        <v>2470653</v>
      </c>
      <c r="H523" s="267">
        <v>790</v>
      </c>
      <c r="I523" s="267">
        <v>229884</v>
      </c>
      <c r="J523" s="267">
        <v>2240769</v>
      </c>
    </row>
    <row r="524" spans="1:10" ht="14.1" customHeight="1" x14ac:dyDescent="0.2">
      <c r="A524" s="278"/>
      <c r="B524" s="278"/>
      <c r="C524" s="278"/>
      <c r="D524" s="261" t="s">
        <v>85</v>
      </c>
      <c r="E524" s="267">
        <v>1</v>
      </c>
      <c r="F524" s="267">
        <v>5771</v>
      </c>
      <c r="G524" s="267">
        <v>5771</v>
      </c>
      <c r="H524" s="267">
        <v>790</v>
      </c>
      <c r="I524" s="267">
        <v>790</v>
      </c>
      <c r="J524" s="267">
        <v>4981</v>
      </c>
    </row>
    <row r="525" spans="1:10" ht="14.1" customHeight="1" x14ac:dyDescent="0.2">
      <c r="A525" s="278"/>
      <c r="B525" s="278"/>
      <c r="C525" s="278"/>
      <c r="D525" s="261" t="s">
        <v>88</v>
      </c>
      <c r="E525" s="267">
        <v>1</v>
      </c>
      <c r="F525" s="267">
        <v>2149</v>
      </c>
      <c r="G525" s="267">
        <v>2149</v>
      </c>
      <c r="H525" s="267">
        <v>790</v>
      </c>
      <c r="I525" s="267">
        <v>790</v>
      </c>
      <c r="J525" s="267">
        <v>1359</v>
      </c>
    </row>
    <row r="526" spans="1:10" ht="14.1" customHeight="1" x14ac:dyDescent="0.2">
      <c r="A526" s="278"/>
      <c r="B526" s="278"/>
      <c r="C526" s="278"/>
      <c r="D526" s="261" t="s">
        <v>78</v>
      </c>
      <c r="E526" s="267">
        <v>1547</v>
      </c>
      <c r="F526" s="267">
        <v>37175</v>
      </c>
      <c r="G526" s="267">
        <v>57510247</v>
      </c>
      <c r="H526" s="267">
        <v>790</v>
      </c>
      <c r="I526" s="267">
        <v>1222100</v>
      </c>
      <c r="J526" s="267">
        <v>56288146</v>
      </c>
    </row>
    <row r="527" spans="1:10" ht="14.1" customHeight="1" x14ac:dyDescent="0.2">
      <c r="A527" s="278"/>
      <c r="B527" s="278"/>
      <c r="C527" s="278"/>
      <c r="D527" s="261" t="s">
        <v>152</v>
      </c>
      <c r="E527" s="267">
        <v>45</v>
      </c>
      <c r="F527" s="267">
        <v>28002</v>
      </c>
      <c r="G527" s="267">
        <v>1260087</v>
      </c>
      <c r="H527" s="267">
        <v>790</v>
      </c>
      <c r="I527" s="267">
        <v>35549</v>
      </c>
      <c r="J527" s="267">
        <v>1224538</v>
      </c>
    </row>
    <row r="528" spans="1:10" ht="14.1" customHeight="1" x14ac:dyDescent="0.2">
      <c r="A528" s="278"/>
      <c r="B528" s="278"/>
      <c r="C528" s="278"/>
      <c r="D528" s="261" t="s">
        <v>153</v>
      </c>
      <c r="E528" s="267">
        <v>2</v>
      </c>
      <c r="F528" s="267">
        <v>5152</v>
      </c>
      <c r="G528" s="267">
        <v>10304</v>
      </c>
      <c r="H528" s="267">
        <v>790</v>
      </c>
      <c r="I528" s="267">
        <v>1580</v>
      </c>
      <c r="J528" s="267">
        <v>8724</v>
      </c>
    </row>
    <row r="529" spans="1:10" ht="14.1" customHeight="1" x14ac:dyDescent="0.2">
      <c r="A529" s="278"/>
      <c r="B529" s="278"/>
      <c r="C529" s="278"/>
      <c r="D529" s="261" t="s">
        <v>154</v>
      </c>
      <c r="E529" s="267">
        <v>418</v>
      </c>
      <c r="F529" s="267">
        <v>6542</v>
      </c>
      <c r="G529" s="267">
        <v>2734719</v>
      </c>
      <c r="H529" s="267">
        <v>790</v>
      </c>
      <c r="I529" s="267">
        <v>330212</v>
      </c>
      <c r="J529" s="267">
        <v>2404507</v>
      </c>
    </row>
    <row r="530" spans="1:10" ht="29.1" customHeight="1" x14ac:dyDescent="0.2">
      <c r="A530" s="278"/>
      <c r="B530" s="277" t="s">
        <v>247</v>
      </c>
      <c r="C530" s="280" t="s">
        <v>75</v>
      </c>
      <c r="D530" s="261" t="s">
        <v>91</v>
      </c>
      <c r="E530" s="267">
        <v>1</v>
      </c>
      <c r="F530" s="267">
        <v>18108</v>
      </c>
      <c r="G530" s="267">
        <v>18108</v>
      </c>
      <c r="H530" s="267">
        <v>1188</v>
      </c>
      <c r="I530" s="267">
        <v>1188</v>
      </c>
      <c r="J530" s="267">
        <v>16920</v>
      </c>
    </row>
    <row r="531" spans="1:10" ht="14.1" customHeight="1" x14ac:dyDescent="0.2">
      <c r="A531" s="278"/>
      <c r="B531" s="278"/>
      <c r="C531" s="278"/>
      <c r="D531" s="261" t="s">
        <v>97</v>
      </c>
      <c r="E531" s="267">
        <v>1</v>
      </c>
      <c r="F531" s="267">
        <v>11317</v>
      </c>
      <c r="G531" s="267">
        <v>11317</v>
      </c>
      <c r="H531" s="267">
        <v>1188</v>
      </c>
      <c r="I531" s="267">
        <v>1188</v>
      </c>
      <c r="J531" s="267">
        <v>10129</v>
      </c>
    </row>
    <row r="532" spans="1:10" ht="14.1" customHeight="1" x14ac:dyDescent="0.2">
      <c r="A532" s="278"/>
      <c r="B532" s="278"/>
      <c r="C532" s="278"/>
      <c r="D532" s="261" t="s">
        <v>90</v>
      </c>
      <c r="E532" s="267">
        <v>5</v>
      </c>
      <c r="F532" s="267">
        <v>7696</v>
      </c>
      <c r="G532" s="267">
        <v>38478</v>
      </c>
      <c r="H532" s="267">
        <v>1188</v>
      </c>
      <c r="I532" s="267">
        <v>5939</v>
      </c>
      <c r="J532" s="267">
        <v>32539</v>
      </c>
    </row>
    <row r="533" spans="1:10" ht="14.1" customHeight="1" x14ac:dyDescent="0.2">
      <c r="A533" s="278"/>
      <c r="B533" s="278"/>
      <c r="C533" s="278"/>
      <c r="D533" s="261" t="s">
        <v>98</v>
      </c>
      <c r="E533" s="267">
        <v>1</v>
      </c>
      <c r="F533" s="267">
        <v>2717</v>
      </c>
      <c r="G533" s="267">
        <v>2717</v>
      </c>
      <c r="H533" s="267">
        <v>1188</v>
      </c>
      <c r="I533" s="267">
        <v>1188</v>
      </c>
      <c r="J533" s="267">
        <v>1529</v>
      </c>
    </row>
    <row r="534" spans="1:10" ht="14.1" customHeight="1" x14ac:dyDescent="0.2">
      <c r="A534" s="278"/>
      <c r="B534" s="278"/>
      <c r="C534" s="278"/>
      <c r="D534" s="261" t="s">
        <v>103</v>
      </c>
      <c r="E534" s="267">
        <v>1</v>
      </c>
      <c r="F534" s="267">
        <v>1359</v>
      </c>
      <c r="G534" s="267">
        <v>1359</v>
      </c>
      <c r="H534" s="267">
        <v>1188</v>
      </c>
      <c r="I534" s="267">
        <v>1188</v>
      </c>
      <c r="J534" s="267">
        <v>171</v>
      </c>
    </row>
    <row r="535" spans="1:10" ht="42.95" customHeight="1" x14ac:dyDescent="0.2">
      <c r="A535" s="278"/>
      <c r="B535" s="278"/>
      <c r="C535" s="277" t="s">
        <v>243</v>
      </c>
      <c r="D535" s="261" t="s">
        <v>86</v>
      </c>
      <c r="E535" s="267">
        <v>2</v>
      </c>
      <c r="F535" s="267">
        <v>19577</v>
      </c>
      <c r="G535" s="267">
        <v>39154</v>
      </c>
      <c r="H535" s="267">
        <v>2657</v>
      </c>
      <c r="I535" s="267">
        <v>5314</v>
      </c>
      <c r="J535" s="267">
        <v>33840</v>
      </c>
    </row>
    <row r="536" spans="1:10" ht="14.1" customHeight="1" x14ac:dyDescent="0.2">
      <c r="A536" s="278"/>
      <c r="B536" s="278"/>
      <c r="C536" s="278"/>
      <c r="D536" s="261" t="s">
        <v>87</v>
      </c>
      <c r="E536" s="267">
        <v>2</v>
      </c>
      <c r="F536" s="267">
        <v>12786</v>
      </c>
      <c r="G536" s="267">
        <v>25572</v>
      </c>
      <c r="H536" s="267">
        <v>2657</v>
      </c>
      <c r="I536" s="267">
        <v>5314</v>
      </c>
      <c r="J536" s="267">
        <v>20258</v>
      </c>
    </row>
    <row r="537" spans="1:10" ht="14.1" customHeight="1" x14ac:dyDescent="0.2">
      <c r="A537" s="278"/>
      <c r="B537" s="278"/>
      <c r="C537" s="278"/>
      <c r="D537" s="261" t="s">
        <v>84</v>
      </c>
      <c r="E537" s="267">
        <v>9</v>
      </c>
      <c r="F537" s="267">
        <v>9165</v>
      </c>
      <c r="G537" s="267">
        <v>82483</v>
      </c>
      <c r="H537" s="267">
        <v>2657</v>
      </c>
      <c r="I537" s="267">
        <v>23913</v>
      </c>
      <c r="J537" s="267">
        <v>58569</v>
      </c>
    </row>
    <row r="538" spans="1:10" ht="42.95" customHeight="1" x14ac:dyDescent="0.2">
      <c r="A538" s="278"/>
      <c r="B538" s="278"/>
      <c r="C538" s="277" t="s">
        <v>245</v>
      </c>
      <c r="D538" s="261" t="s">
        <v>102</v>
      </c>
      <c r="E538" s="267">
        <v>1</v>
      </c>
      <c r="F538" s="267">
        <v>97664</v>
      </c>
      <c r="G538" s="267">
        <v>97664</v>
      </c>
      <c r="H538" s="267">
        <v>1978</v>
      </c>
      <c r="I538" s="267">
        <v>1978</v>
      </c>
      <c r="J538" s="267">
        <v>95686</v>
      </c>
    </row>
    <row r="539" spans="1:10" ht="14.1" customHeight="1" x14ac:dyDescent="0.2">
      <c r="A539" s="278"/>
      <c r="B539" s="278"/>
      <c r="C539" s="278"/>
      <c r="D539" s="261" t="s">
        <v>92</v>
      </c>
      <c r="E539" s="267">
        <v>142</v>
      </c>
      <c r="F539" s="267">
        <v>31120</v>
      </c>
      <c r="G539" s="267">
        <v>4419100</v>
      </c>
      <c r="H539" s="267">
        <v>1978</v>
      </c>
      <c r="I539" s="267">
        <v>280854</v>
      </c>
      <c r="J539" s="267">
        <v>4138247</v>
      </c>
    </row>
    <row r="540" spans="1:10" ht="14.1" customHeight="1" x14ac:dyDescent="0.2">
      <c r="A540" s="278"/>
      <c r="B540" s="278"/>
      <c r="C540" s="278"/>
      <c r="D540" s="261" t="s">
        <v>86</v>
      </c>
      <c r="E540" s="267">
        <v>446</v>
      </c>
      <c r="F540" s="267">
        <v>18899</v>
      </c>
      <c r="G540" s="267">
        <v>8429134</v>
      </c>
      <c r="H540" s="267">
        <v>1978</v>
      </c>
      <c r="I540" s="267">
        <v>882118</v>
      </c>
      <c r="J540" s="267">
        <v>7547016</v>
      </c>
    </row>
    <row r="541" spans="1:10" ht="14.1" customHeight="1" x14ac:dyDescent="0.2">
      <c r="A541" s="278"/>
      <c r="B541" s="278"/>
      <c r="C541" s="278"/>
      <c r="D541" s="261" t="s">
        <v>87</v>
      </c>
      <c r="E541" s="267">
        <v>633</v>
      </c>
      <c r="F541" s="267">
        <v>12107</v>
      </c>
      <c r="G541" s="267">
        <v>7663691</v>
      </c>
      <c r="H541" s="267">
        <v>1978</v>
      </c>
      <c r="I541" s="267">
        <v>1251974</v>
      </c>
      <c r="J541" s="267">
        <v>6411717</v>
      </c>
    </row>
    <row r="542" spans="1:10" ht="14.1" customHeight="1" x14ac:dyDescent="0.2">
      <c r="A542" s="278"/>
      <c r="B542" s="278"/>
      <c r="C542" s="278"/>
      <c r="D542" s="261" t="s">
        <v>84</v>
      </c>
      <c r="E542" s="267">
        <v>1489</v>
      </c>
      <c r="F542" s="267">
        <v>8486</v>
      </c>
      <c r="G542" s="267">
        <v>12635662</v>
      </c>
      <c r="H542" s="267">
        <v>1978</v>
      </c>
      <c r="I542" s="267">
        <v>2945007</v>
      </c>
      <c r="J542" s="267">
        <v>9690655</v>
      </c>
    </row>
    <row r="543" spans="1:10" ht="14.1" customHeight="1" x14ac:dyDescent="0.2">
      <c r="A543" s="278"/>
      <c r="B543" s="278"/>
      <c r="C543" s="278"/>
      <c r="D543" s="261" t="s">
        <v>85</v>
      </c>
      <c r="E543" s="267">
        <v>35</v>
      </c>
      <c r="F543" s="267">
        <v>5771</v>
      </c>
      <c r="G543" s="267">
        <v>201975</v>
      </c>
      <c r="H543" s="267">
        <v>1978</v>
      </c>
      <c r="I543" s="267">
        <v>69224</v>
      </c>
      <c r="J543" s="267">
        <v>132750</v>
      </c>
    </row>
    <row r="544" spans="1:10" ht="14.1" customHeight="1" x14ac:dyDescent="0.2">
      <c r="A544" s="278"/>
      <c r="B544" s="278"/>
      <c r="C544" s="278"/>
      <c r="D544" s="261" t="s">
        <v>96</v>
      </c>
      <c r="E544" s="267">
        <v>91</v>
      </c>
      <c r="F544" s="267">
        <v>3507</v>
      </c>
      <c r="G544" s="267">
        <v>319114</v>
      </c>
      <c r="H544" s="267">
        <v>1978</v>
      </c>
      <c r="I544" s="267">
        <v>179984</v>
      </c>
      <c r="J544" s="267">
        <v>139130</v>
      </c>
    </row>
    <row r="545" spans="1:10" ht="14.1" customHeight="1" x14ac:dyDescent="0.2">
      <c r="A545" s="278"/>
      <c r="B545" s="278"/>
      <c r="C545" s="278"/>
      <c r="D545" s="261" t="s">
        <v>88</v>
      </c>
      <c r="E545" s="267">
        <v>134</v>
      </c>
      <c r="F545" s="267">
        <v>2149</v>
      </c>
      <c r="G545" s="267">
        <v>288010</v>
      </c>
      <c r="H545" s="267">
        <v>1978</v>
      </c>
      <c r="I545" s="267">
        <v>265031</v>
      </c>
      <c r="J545" s="267">
        <v>22979</v>
      </c>
    </row>
    <row r="546" spans="1:10" ht="29.1" customHeight="1" x14ac:dyDescent="0.2">
      <c r="A546" s="277" t="s">
        <v>251</v>
      </c>
      <c r="B546" s="278" t="s">
        <v>60</v>
      </c>
      <c r="C546" s="278"/>
      <c r="D546" s="278"/>
      <c r="E546" s="267">
        <v>1632</v>
      </c>
      <c r="F546" s="267"/>
      <c r="G546" s="267">
        <v>27814141</v>
      </c>
      <c r="H546" s="267"/>
      <c r="I546" s="267">
        <v>1570170</v>
      </c>
      <c r="J546" s="267">
        <v>26243971</v>
      </c>
    </row>
    <row r="547" spans="1:10" ht="14.1" customHeight="1" x14ac:dyDescent="0.2">
      <c r="A547" s="278"/>
      <c r="B547" s="261" t="s">
        <v>71</v>
      </c>
      <c r="C547" s="261" t="s">
        <v>72</v>
      </c>
      <c r="D547" s="261" t="s">
        <v>73</v>
      </c>
      <c r="E547" s="284">
        <v>64</v>
      </c>
      <c r="F547" s="284">
        <v>12172</v>
      </c>
      <c r="G547" s="284">
        <v>779037</v>
      </c>
      <c r="H547" s="284">
        <v>1978</v>
      </c>
      <c r="I547" s="284">
        <v>126582</v>
      </c>
      <c r="J547" s="284">
        <v>652455</v>
      </c>
    </row>
    <row r="548" spans="1:10" ht="42.95" customHeight="1" x14ac:dyDescent="0.2">
      <c r="A548" s="278"/>
      <c r="B548" s="265" t="s">
        <v>74</v>
      </c>
      <c r="C548" s="263" t="s">
        <v>245</v>
      </c>
      <c r="D548" s="261" t="s">
        <v>79</v>
      </c>
      <c r="E548" s="285"/>
      <c r="F548" s="285"/>
      <c r="G548" s="285"/>
      <c r="H548" s="285"/>
      <c r="I548" s="285"/>
      <c r="J548" s="285"/>
    </row>
    <row r="549" spans="1:10" ht="42.95" customHeight="1" x14ac:dyDescent="0.2">
      <c r="A549" s="278"/>
      <c r="B549" s="277" t="s">
        <v>246</v>
      </c>
      <c r="C549" s="280" t="s">
        <v>75</v>
      </c>
      <c r="D549" s="261" t="s">
        <v>91</v>
      </c>
      <c r="E549" s="267">
        <v>6</v>
      </c>
      <c r="F549" s="267">
        <v>18108</v>
      </c>
      <c r="G549" s="267">
        <v>108647</v>
      </c>
      <c r="H549" s="267">
        <v>0</v>
      </c>
      <c r="I549" s="267">
        <v>0</v>
      </c>
      <c r="J549" s="267">
        <v>108647</v>
      </c>
    </row>
    <row r="550" spans="1:10" ht="14.1" customHeight="1" x14ac:dyDescent="0.2">
      <c r="A550" s="278"/>
      <c r="B550" s="278"/>
      <c r="C550" s="278"/>
      <c r="D550" s="261" t="s">
        <v>90</v>
      </c>
      <c r="E550" s="267">
        <v>3</v>
      </c>
      <c r="F550" s="267">
        <v>7696</v>
      </c>
      <c r="G550" s="267">
        <v>23087</v>
      </c>
      <c r="H550" s="267">
        <v>0</v>
      </c>
      <c r="I550" s="267">
        <v>0</v>
      </c>
      <c r="J550" s="267">
        <v>23087</v>
      </c>
    </row>
    <row r="551" spans="1:10" ht="42.95" customHeight="1" x14ac:dyDescent="0.2">
      <c r="A551" s="278"/>
      <c r="B551" s="278"/>
      <c r="C551" s="277" t="s">
        <v>243</v>
      </c>
      <c r="D551" s="261" t="s">
        <v>86</v>
      </c>
      <c r="E551" s="267">
        <v>1</v>
      </c>
      <c r="F551" s="267">
        <v>19577</v>
      </c>
      <c r="G551" s="267">
        <v>19577</v>
      </c>
      <c r="H551" s="267">
        <v>1469</v>
      </c>
      <c r="I551" s="267">
        <v>1469</v>
      </c>
      <c r="J551" s="267">
        <v>18108</v>
      </c>
    </row>
    <row r="552" spans="1:10" ht="14.1" customHeight="1" x14ac:dyDescent="0.2">
      <c r="A552" s="278"/>
      <c r="B552" s="278"/>
      <c r="C552" s="278"/>
      <c r="D552" s="261" t="s">
        <v>152</v>
      </c>
      <c r="E552" s="267">
        <v>1</v>
      </c>
      <c r="F552" s="267">
        <v>28681</v>
      </c>
      <c r="G552" s="267">
        <v>28681</v>
      </c>
      <c r="H552" s="267">
        <v>1469</v>
      </c>
      <c r="I552" s="267">
        <v>1469</v>
      </c>
      <c r="J552" s="267">
        <v>27212</v>
      </c>
    </row>
    <row r="553" spans="1:10" ht="42.95" customHeight="1" x14ac:dyDescent="0.2">
      <c r="A553" s="278"/>
      <c r="B553" s="278"/>
      <c r="C553" s="277" t="s">
        <v>245</v>
      </c>
      <c r="D553" s="261" t="s">
        <v>92</v>
      </c>
      <c r="E553" s="267">
        <v>179</v>
      </c>
      <c r="F553" s="267">
        <v>31120</v>
      </c>
      <c r="G553" s="267">
        <v>5570556</v>
      </c>
      <c r="H553" s="267">
        <v>790</v>
      </c>
      <c r="I553" s="267">
        <v>141407</v>
      </c>
      <c r="J553" s="267">
        <v>5429149</v>
      </c>
    </row>
    <row r="554" spans="1:10" ht="14.1" customHeight="1" x14ac:dyDescent="0.2">
      <c r="A554" s="278"/>
      <c r="B554" s="278"/>
      <c r="C554" s="278"/>
      <c r="D554" s="261" t="s">
        <v>86</v>
      </c>
      <c r="E554" s="267">
        <v>721</v>
      </c>
      <c r="F554" s="267">
        <v>18898</v>
      </c>
      <c r="G554" s="267">
        <v>13625372</v>
      </c>
      <c r="H554" s="267">
        <v>790</v>
      </c>
      <c r="I554" s="267">
        <v>569576</v>
      </c>
      <c r="J554" s="267">
        <v>13055796</v>
      </c>
    </row>
    <row r="555" spans="1:10" ht="14.1" customHeight="1" x14ac:dyDescent="0.2">
      <c r="A555" s="278"/>
      <c r="B555" s="278"/>
      <c r="C555" s="278"/>
      <c r="D555" s="261" t="s">
        <v>87</v>
      </c>
      <c r="E555" s="267">
        <v>66</v>
      </c>
      <c r="F555" s="267">
        <v>12107</v>
      </c>
      <c r="G555" s="267">
        <v>799058</v>
      </c>
      <c r="H555" s="267">
        <v>790</v>
      </c>
      <c r="I555" s="267">
        <v>52139</v>
      </c>
      <c r="J555" s="267">
        <v>746919</v>
      </c>
    </row>
    <row r="556" spans="1:10" ht="14.1" customHeight="1" x14ac:dyDescent="0.2">
      <c r="A556" s="278"/>
      <c r="B556" s="278"/>
      <c r="C556" s="278"/>
      <c r="D556" s="261" t="s">
        <v>84</v>
      </c>
      <c r="E556" s="267">
        <v>338</v>
      </c>
      <c r="F556" s="267">
        <v>8486</v>
      </c>
      <c r="G556" s="267">
        <v>2868116</v>
      </c>
      <c r="H556" s="267">
        <v>790</v>
      </c>
      <c r="I556" s="267">
        <v>267013</v>
      </c>
      <c r="J556" s="267">
        <v>2601102</v>
      </c>
    </row>
    <row r="557" spans="1:10" ht="14.1" customHeight="1" x14ac:dyDescent="0.2">
      <c r="A557" s="278"/>
      <c r="B557" s="278"/>
      <c r="C557" s="278"/>
      <c r="D557" s="261" t="s">
        <v>88</v>
      </c>
      <c r="E557" s="267">
        <v>2</v>
      </c>
      <c r="F557" s="267">
        <v>2149</v>
      </c>
      <c r="G557" s="267">
        <v>4299</v>
      </c>
      <c r="H557" s="267">
        <v>790</v>
      </c>
      <c r="I557" s="267">
        <v>1580</v>
      </c>
      <c r="J557" s="267">
        <v>2719</v>
      </c>
    </row>
    <row r="558" spans="1:10" ht="14.1" customHeight="1" x14ac:dyDescent="0.2">
      <c r="A558" s="278"/>
      <c r="B558" s="278"/>
      <c r="C558" s="278"/>
      <c r="D558" s="261" t="s">
        <v>78</v>
      </c>
      <c r="E558" s="267">
        <v>59</v>
      </c>
      <c r="F558" s="267">
        <v>37175</v>
      </c>
      <c r="G558" s="267">
        <v>2193345</v>
      </c>
      <c r="H558" s="267">
        <v>790</v>
      </c>
      <c r="I558" s="267">
        <v>46609</v>
      </c>
      <c r="J558" s="267">
        <v>2146736</v>
      </c>
    </row>
    <row r="559" spans="1:10" ht="14.1" customHeight="1" x14ac:dyDescent="0.2">
      <c r="A559" s="278"/>
      <c r="B559" s="278"/>
      <c r="C559" s="278"/>
      <c r="D559" s="261" t="s">
        <v>152</v>
      </c>
      <c r="E559" s="267">
        <v>9</v>
      </c>
      <c r="F559" s="267">
        <v>28002</v>
      </c>
      <c r="G559" s="267">
        <v>252017</v>
      </c>
      <c r="H559" s="267">
        <v>790</v>
      </c>
      <c r="I559" s="267">
        <v>7110</v>
      </c>
      <c r="J559" s="267">
        <v>244908</v>
      </c>
    </row>
    <row r="560" spans="1:10" ht="14.1" customHeight="1" x14ac:dyDescent="0.2">
      <c r="A560" s="278"/>
      <c r="B560" s="278"/>
      <c r="C560" s="278"/>
      <c r="D560" s="261" t="s">
        <v>154</v>
      </c>
      <c r="E560" s="267">
        <v>5</v>
      </c>
      <c r="F560" s="267">
        <v>6542</v>
      </c>
      <c r="G560" s="267">
        <v>32712</v>
      </c>
      <c r="H560" s="267">
        <v>790</v>
      </c>
      <c r="I560" s="267">
        <v>3950</v>
      </c>
      <c r="J560" s="267">
        <v>28762</v>
      </c>
    </row>
    <row r="561" spans="1:10" ht="29.1" customHeight="1" x14ac:dyDescent="0.2">
      <c r="A561" s="278"/>
      <c r="B561" s="277" t="s">
        <v>247</v>
      </c>
      <c r="C561" s="262" t="s">
        <v>75</v>
      </c>
      <c r="D561" s="261" t="s">
        <v>90</v>
      </c>
      <c r="E561" s="267">
        <v>1</v>
      </c>
      <c r="F561" s="267">
        <v>7696</v>
      </c>
      <c r="G561" s="267">
        <v>7696</v>
      </c>
      <c r="H561" s="267">
        <v>1188</v>
      </c>
      <c r="I561" s="267">
        <v>1188</v>
      </c>
      <c r="J561" s="267">
        <v>6508</v>
      </c>
    </row>
    <row r="562" spans="1:10" ht="42.95" customHeight="1" x14ac:dyDescent="0.2">
      <c r="A562" s="278"/>
      <c r="B562" s="278"/>
      <c r="C562" s="263" t="s">
        <v>245</v>
      </c>
      <c r="D562" s="261" t="s">
        <v>84</v>
      </c>
      <c r="E562" s="267">
        <v>177</v>
      </c>
      <c r="F562" s="267">
        <v>8486</v>
      </c>
      <c r="G562" s="267">
        <v>1501942</v>
      </c>
      <c r="H562" s="267">
        <v>1978</v>
      </c>
      <c r="I562" s="267">
        <v>350078</v>
      </c>
      <c r="J562" s="267">
        <v>1151864</v>
      </c>
    </row>
    <row r="563" spans="1:10" ht="29.1" customHeight="1" x14ac:dyDescent="0.2">
      <c r="A563" s="277" t="s">
        <v>252</v>
      </c>
      <c r="B563" s="278" t="s">
        <v>60</v>
      </c>
      <c r="C563" s="278"/>
      <c r="D563" s="278"/>
      <c r="E563" s="267">
        <v>3110</v>
      </c>
      <c r="F563" s="267"/>
      <c r="G563" s="267">
        <v>46000909</v>
      </c>
      <c r="H563" s="267"/>
      <c r="I563" s="267">
        <v>3901453</v>
      </c>
      <c r="J563" s="267">
        <v>42099457</v>
      </c>
    </row>
    <row r="564" spans="1:10" ht="14.1" customHeight="1" x14ac:dyDescent="0.2">
      <c r="A564" s="278"/>
      <c r="B564" s="261" t="s">
        <v>71</v>
      </c>
      <c r="C564" s="261" t="s">
        <v>72</v>
      </c>
      <c r="D564" s="261" t="s">
        <v>73</v>
      </c>
      <c r="E564" s="284">
        <v>4</v>
      </c>
      <c r="F564" s="284">
        <v>11382</v>
      </c>
      <c r="G564" s="284">
        <v>45530</v>
      </c>
      <c r="H564" s="284">
        <v>0</v>
      </c>
      <c r="I564" s="284">
        <v>0</v>
      </c>
      <c r="J564" s="284">
        <v>45530</v>
      </c>
    </row>
    <row r="565" spans="1:10" ht="14.1" customHeight="1" x14ac:dyDescent="0.2">
      <c r="A565" s="278"/>
      <c r="B565" s="279" t="s">
        <v>74</v>
      </c>
      <c r="C565" s="262" t="s">
        <v>75</v>
      </c>
      <c r="D565" s="261" t="s">
        <v>77</v>
      </c>
      <c r="E565" s="285"/>
      <c r="F565" s="285"/>
      <c r="G565" s="285"/>
      <c r="H565" s="285"/>
      <c r="I565" s="285"/>
      <c r="J565" s="285"/>
    </row>
    <row r="566" spans="1:10" ht="42.95" customHeight="1" x14ac:dyDescent="0.2">
      <c r="A566" s="278"/>
      <c r="B566" s="278"/>
      <c r="C566" s="263" t="s">
        <v>245</v>
      </c>
      <c r="D566" s="261" t="s">
        <v>79</v>
      </c>
      <c r="E566" s="267">
        <v>93</v>
      </c>
      <c r="F566" s="267">
        <v>12172</v>
      </c>
      <c r="G566" s="267">
        <v>1132038</v>
      </c>
      <c r="H566" s="267">
        <v>1978</v>
      </c>
      <c r="I566" s="267">
        <v>183939</v>
      </c>
      <c r="J566" s="267">
        <v>948098</v>
      </c>
    </row>
    <row r="567" spans="1:10" ht="42.95" customHeight="1" x14ac:dyDescent="0.2">
      <c r="A567" s="278"/>
      <c r="B567" s="277" t="s">
        <v>246</v>
      </c>
      <c r="C567" s="280" t="s">
        <v>75</v>
      </c>
      <c r="D567" s="261" t="s">
        <v>91</v>
      </c>
      <c r="E567" s="267">
        <v>1</v>
      </c>
      <c r="F567" s="267">
        <v>18108</v>
      </c>
      <c r="G567" s="267">
        <v>18108</v>
      </c>
      <c r="H567" s="267">
        <v>0</v>
      </c>
      <c r="I567" s="267">
        <v>0</v>
      </c>
      <c r="J567" s="267">
        <v>18108</v>
      </c>
    </row>
    <row r="568" spans="1:10" ht="14.1" customHeight="1" x14ac:dyDescent="0.2">
      <c r="A568" s="278"/>
      <c r="B568" s="278"/>
      <c r="C568" s="278"/>
      <c r="D568" s="261" t="s">
        <v>90</v>
      </c>
      <c r="E568" s="267">
        <v>1</v>
      </c>
      <c r="F568" s="267">
        <v>7696</v>
      </c>
      <c r="G568" s="267">
        <v>7696</v>
      </c>
      <c r="H568" s="267">
        <v>0</v>
      </c>
      <c r="I568" s="267">
        <v>0</v>
      </c>
      <c r="J568" s="267">
        <v>7696</v>
      </c>
    </row>
    <row r="569" spans="1:10" ht="14.1" customHeight="1" x14ac:dyDescent="0.2">
      <c r="A569" s="278"/>
      <c r="B569" s="278"/>
      <c r="C569" s="278"/>
      <c r="D569" s="261" t="s">
        <v>76</v>
      </c>
      <c r="E569" s="267">
        <v>3</v>
      </c>
      <c r="F569" s="267">
        <v>36385</v>
      </c>
      <c r="G569" s="267">
        <v>109156</v>
      </c>
      <c r="H569" s="267">
        <v>0</v>
      </c>
      <c r="I569" s="267">
        <v>0</v>
      </c>
      <c r="J569" s="267">
        <v>109156</v>
      </c>
    </row>
    <row r="570" spans="1:10" ht="14.1" customHeight="1" x14ac:dyDescent="0.2">
      <c r="A570" s="278"/>
      <c r="B570" s="278"/>
      <c r="C570" s="278"/>
      <c r="D570" s="261" t="s">
        <v>155</v>
      </c>
      <c r="E570" s="267">
        <v>1</v>
      </c>
      <c r="F570" s="267">
        <v>4362</v>
      </c>
      <c r="G570" s="267">
        <v>4362</v>
      </c>
      <c r="H570" s="267">
        <v>0</v>
      </c>
      <c r="I570" s="267">
        <v>0</v>
      </c>
      <c r="J570" s="267">
        <v>4362</v>
      </c>
    </row>
    <row r="571" spans="1:10" ht="42.95" customHeight="1" x14ac:dyDescent="0.2">
      <c r="A571" s="278"/>
      <c r="B571" s="278"/>
      <c r="C571" s="277" t="s">
        <v>243</v>
      </c>
      <c r="D571" s="261" t="s">
        <v>83</v>
      </c>
      <c r="E571" s="267">
        <v>1</v>
      </c>
      <c r="F571" s="267">
        <v>3452</v>
      </c>
      <c r="G571" s="267">
        <v>3452</v>
      </c>
      <c r="H571" s="267">
        <v>1469</v>
      </c>
      <c r="I571" s="267">
        <v>1469</v>
      </c>
      <c r="J571" s="267">
        <v>1983</v>
      </c>
    </row>
    <row r="572" spans="1:10" ht="14.1" customHeight="1" x14ac:dyDescent="0.2">
      <c r="A572" s="278"/>
      <c r="B572" s="278"/>
      <c r="C572" s="278"/>
      <c r="D572" s="261" t="s">
        <v>86</v>
      </c>
      <c r="E572" s="267">
        <v>1</v>
      </c>
      <c r="F572" s="267">
        <v>19577</v>
      </c>
      <c r="G572" s="267">
        <v>19577</v>
      </c>
      <c r="H572" s="267">
        <v>1469</v>
      </c>
      <c r="I572" s="267">
        <v>1469</v>
      </c>
      <c r="J572" s="267">
        <v>18108</v>
      </c>
    </row>
    <row r="573" spans="1:10" ht="14.1" customHeight="1" x14ac:dyDescent="0.2">
      <c r="A573" s="278"/>
      <c r="B573" s="278"/>
      <c r="C573" s="278"/>
      <c r="D573" s="261" t="s">
        <v>84</v>
      </c>
      <c r="E573" s="267">
        <v>1</v>
      </c>
      <c r="F573" s="267">
        <v>9165</v>
      </c>
      <c r="G573" s="267">
        <v>9165</v>
      </c>
      <c r="H573" s="267">
        <v>1469</v>
      </c>
      <c r="I573" s="267">
        <v>1469</v>
      </c>
      <c r="J573" s="267">
        <v>7696</v>
      </c>
    </row>
    <row r="574" spans="1:10" ht="42.95" customHeight="1" x14ac:dyDescent="0.2">
      <c r="A574" s="278"/>
      <c r="B574" s="278"/>
      <c r="C574" s="263" t="s">
        <v>244</v>
      </c>
      <c r="D574" s="261" t="s">
        <v>153</v>
      </c>
      <c r="E574" s="267">
        <v>50</v>
      </c>
      <c r="F574" s="267">
        <v>5568</v>
      </c>
      <c r="G574" s="267">
        <v>278395</v>
      </c>
      <c r="H574" s="267">
        <v>1242</v>
      </c>
      <c r="I574" s="267">
        <v>62091</v>
      </c>
      <c r="J574" s="267">
        <v>216304</v>
      </c>
    </row>
    <row r="575" spans="1:10" ht="42.95" customHeight="1" x14ac:dyDescent="0.2">
      <c r="A575" s="278"/>
      <c r="B575" s="278"/>
      <c r="C575" s="277" t="s">
        <v>245</v>
      </c>
      <c r="D575" s="261" t="s">
        <v>83</v>
      </c>
      <c r="E575" s="267">
        <v>15</v>
      </c>
      <c r="F575" s="267">
        <v>2773</v>
      </c>
      <c r="G575" s="267">
        <v>41590</v>
      </c>
      <c r="H575" s="267">
        <v>790</v>
      </c>
      <c r="I575" s="267">
        <v>11850</v>
      </c>
      <c r="J575" s="267">
        <v>29740</v>
      </c>
    </row>
    <row r="576" spans="1:10" ht="14.1" customHeight="1" x14ac:dyDescent="0.2">
      <c r="A576" s="278"/>
      <c r="B576" s="278"/>
      <c r="C576" s="278"/>
      <c r="D576" s="261" t="s">
        <v>92</v>
      </c>
      <c r="E576" s="267">
        <v>355</v>
      </c>
      <c r="F576" s="267">
        <v>31120</v>
      </c>
      <c r="G576" s="267">
        <v>11047750</v>
      </c>
      <c r="H576" s="267">
        <v>790</v>
      </c>
      <c r="I576" s="267">
        <v>280443</v>
      </c>
      <c r="J576" s="267">
        <v>10767307</v>
      </c>
    </row>
    <row r="577" spans="1:10" ht="14.1" customHeight="1" x14ac:dyDescent="0.2">
      <c r="A577" s="278"/>
      <c r="B577" s="278"/>
      <c r="C577" s="278"/>
      <c r="D577" s="261" t="s">
        <v>86</v>
      </c>
      <c r="E577" s="267">
        <v>521</v>
      </c>
      <c r="F577" s="267">
        <v>18898</v>
      </c>
      <c r="G577" s="267">
        <v>9845796</v>
      </c>
      <c r="H577" s="267">
        <v>790</v>
      </c>
      <c r="I577" s="267">
        <v>411580</v>
      </c>
      <c r="J577" s="267">
        <v>9434216</v>
      </c>
    </row>
    <row r="578" spans="1:10" ht="14.1" customHeight="1" x14ac:dyDescent="0.2">
      <c r="A578" s="278"/>
      <c r="B578" s="278"/>
      <c r="C578" s="278"/>
      <c r="D578" s="261" t="s">
        <v>87</v>
      </c>
      <c r="E578" s="267">
        <v>53</v>
      </c>
      <c r="F578" s="267">
        <v>12107</v>
      </c>
      <c r="G578" s="267">
        <v>641668</v>
      </c>
      <c r="H578" s="267">
        <v>790</v>
      </c>
      <c r="I578" s="267">
        <v>41869</v>
      </c>
      <c r="J578" s="267">
        <v>599799</v>
      </c>
    </row>
    <row r="579" spans="1:10" ht="14.1" customHeight="1" x14ac:dyDescent="0.2">
      <c r="A579" s="278"/>
      <c r="B579" s="278"/>
      <c r="C579" s="278"/>
      <c r="D579" s="261" t="s">
        <v>84</v>
      </c>
      <c r="E579" s="267">
        <v>500</v>
      </c>
      <c r="F579" s="267">
        <v>8486</v>
      </c>
      <c r="G579" s="267">
        <v>4242775</v>
      </c>
      <c r="H579" s="267">
        <v>790</v>
      </c>
      <c r="I579" s="267">
        <v>394990</v>
      </c>
      <c r="J579" s="267">
        <v>3847784</v>
      </c>
    </row>
    <row r="580" spans="1:10" ht="14.1" customHeight="1" x14ac:dyDescent="0.2">
      <c r="A580" s="278"/>
      <c r="B580" s="278"/>
      <c r="C580" s="278"/>
      <c r="D580" s="261" t="s">
        <v>96</v>
      </c>
      <c r="E580" s="267">
        <v>6</v>
      </c>
      <c r="F580" s="267">
        <v>3507</v>
      </c>
      <c r="G580" s="267">
        <v>21040</v>
      </c>
      <c r="H580" s="267">
        <v>790</v>
      </c>
      <c r="I580" s="267">
        <v>4740</v>
      </c>
      <c r="J580" s="267">
        <v>16301</v>
      </c>
    </row>
    <row r="581" spans="1:10" ht="14.1" customHeight="1" x14ac:dyDescent="0.2">
      <c r="A581" s="278"/>
      <c r="B581" s="278"/>
      <c r="C581" s="278"/>
      <c r="D581" s="261" t="s">
        <v>78</v>
      </c>
      <c r="E581" s="267">
        <v>209</v>
      </c>
      <c r="F581" s="267">
        <v>37175</v>
      </c>
      <c r="G581" s="267">
        <v>7769645</v>
      </c>
      <c r="H581" s="267">
        <v>790</v>
      </c>
      <c r="I581" s="267">
        <v>165106</v>
      </c>
      <c r="J581" s="267">
        <v>7604539</v>
      </c>
    </row>
    <row r="582" spans="1:10" ht="14.1" customHeight="1" x14ac:dyDescent="0.2">
      <c r="A582" s="278"/>
      <c r="B582" s="278"/>
      <c r="C582" s="278"/>
      <c r="D582" s="261" t="s">
        <v>153</v>
      </c>
      <c r="E582" s="267">
        <v>7</v>
      </c>
      <c r="F582" s="267">
        <v>5152</v>
      </c>
      <c r="G582" s="267">
        <v>36066</v>
      </c>
      <c r="H582" s="267">
        <v>790</v>
      </c>
      <c r="I582" s="267">
        <v>5530</v>
      </c>
      <c r="J582" s="267">
        <v>30536</v>
      </c>
    </row>
    <row r="583" spans="1:10" ht="14.1" customHeight="1" x14ac:dyDescent="0.2">
      <c r="A583" s="278"/>
      <c r="B583" s="278"/>
      <c r="C583" s="278"/>
      <c r="D583" s="261" t="s">
        <v>154</v>
      </c>
      <c r="E583" s="267">
        <v>180</v>
      </c>
      <c r="F583" s="267">
        <v>6542</v>
      </c>
      <c r="G583" s="267">
        <v>1177630</v>
      </c>
      <c r="H583" s="267">
        <v>790</v>
      </c>
      <c r="I583" s="267">
        <v>142197</v>
      </c>
      <c r="J583" s="267">
        <v>1035434</v>
      </c>
    </row>
    <row r="584" spans="1:10" ht="29.1" customHeight="1" x14ac:dyDescent="0.2">
      <c r="A584" s="278"/>
      <c r="B584" s="277" t="s">
        <v>247</v>
      </c>
      <c r="C584" s="262" t="s">
        <v>75</v>
      </c>
      <c r="D584" s="261" t="s">
        <v>90</v>
      </c>
      <c r="E584" s="267">
        <v>7</v>
      </c>
      <c r="F584" s="267">
        <v>7696</v>
      </c>
      <c r="G584" s="267">
        <v>53869</v>
      </c>
      <c r="H584" s="267">
        <v>1188</v>
      </c>
      <c r="I584" s="267">
        <v>8315</v>
      </c>
      <c r="J584" s="267">
        <v>45554</v>
      </c>
    </row>
    <row r="585" spans="1:10" ht="42.95" customHeight="1" x14ac:dyDescent="0.2">
      <c r="A585" s="278"/>
      <c r="B585" s="278"/>
      <c r="C585" s="263" t="s">
        <v>243</v>
      </c>
      <c r="D585" s="261" t="s">
        <v>84</v>
      </c>
      <c r="E585" s="267">
        <v>10</v>
      </c>
      <c r="F585" s="267">
        <v>9165</v>
      </c>
      <c r="G585" s="267">
        <v>91647</v>
      </c>
      <c r="H585" s="267">
        <v>2657</v>
      </c>
      <c r="I585" s="267">
        <v>26570</v>
      </c>
      <c r="J585" s="267">
        <v>65077</v>
      </c>
    </row>
    <row r="586" spans="1:10" ht="42.95" customHeight="1" x14ac:dyDescent="0.2">
      <c r="A586" s="278"/>
      <c r="B586" s="278"/>
      <c r="C586" s="277" t="s">
        <v>245</v>
      </c>
      <c r="D586" s="261" t="s">
        <v>92</v>
      </c>
      <c r="E586" s="267">
        <v>6</v>
      </c>
      <c r="F586" s="267">
        <v>31120</v>
      </c>
      <c r="G586" s="267">
        <v>186723</v>
      </c>
      <c r="H586" s="267">
        <v>1978</v>
      </c>
      <c r="I586" s="267">
        <v>11867</v>
      </c>
      <c r="J586" s="267">
        <v>174855</v>
      </c>
    </row>
    <row r="587" spans="1:10" ht="14.1" customHeight="1" x14ac:dyDescent="0.2">
      <c r="A587" s="278"/>
      <c r="B587" s="278"/>
      <c r="C587" s="278"/>
      <c r="D587" s="261" t="s">
        <v>86</v>
      </c>
      <c r="E587" s="267">
        <v>1</v>
      </c>
      <c r="F587" s="267">
        <v>18898</v>
      </c>
      <c r="G587" s="267">
        <v>18898</v>
      </c>
      <c r="H587" s="267">
        <v>1978</v>
      </c>
      <c r="I587" s="267">
        <v>1978</v>
      </c>
      <c r="J587" s="267">
        <v>16920</v>
      </c>
    </row>
    <row r="588" spans="1:10" ht="14.1" customHeight="1" x14ac:dyDescent="0.2">
      <c r="A588" s="278"/>
      <c r="B588" s="278"/>
      <c r="C588" s="278"/>
      <c r="D588" s="261" t="s">
        <v>84</v>
      </c>
      <c r="E588" s="267">
        <v>1084</v>
      </c>
      <c r="F588" s="267">
        <v>8486</v>
      </c>
      <c r="G588" s="267">
        <v>9198335</v>
      </c>
      <c r="H588" s="267">
        <v>1978</v>
      </c>
      <c r="I588" s="267">
        <v>2143981</v>
      </c>
      <c r="J588" s="267">
        <v>7054355</v>
      </c>
    </row>
    <row r="589" spans="1:10" ht="29.1" customHeight="1" x14ac:dyDescent="0.2">
      <c r="A589" s="277" t="s">
        <v>253</v>
      </c>
      <c r="B589" s="278" t="s">
        <v>60</v>
      </c>
      <c r="C589" s="278"/>
      <c r="D589" s="278"/>
      <c r="E589" s="267">
        <v>25770</v>
      </c>
      <c r="F589" s="267"/>
      <c r="G589" s="267">
        <v>403001944</v>
      </c>
      <c r="H589" s="267"/>
      <c r="I589" s="267">
        <v>41882820</v>
      </c>
      <c r="J589" s="267">
        <v>361119124</v>
      </c>
    </row>
    <row r="590" spans="1:10" ht="14.1" customHeight="1" x14ac:dyDescent="0.2">
      <c r="A590" s="278"/>
      <c r="B590" s="261" t="s">
        <v>71</v>
      </c>
      <c r="C590" s="261" t="s">
        <v>72</v>
      </c>
      <c r="D590" s="261" t="s">
        <v>73</v>
      </c>
      <c r="E590" s="284">
        <v>93</v>
      </c>
      <c r="F590" s="284">
        <v>11382</v>
      </c>
      <c r="G590" s="284">
        <v>1058569</v>
      </c>
      <c r="H590" s="284">
        <v>0</v>
      </c>
      <c r="I590" s="284">
        <v>0</v>
      </c>
      <c r="J590" s="284">
        <v>1058569</v>
      </c>
    </row>
    <row r="591" spans="1:10" ht="14.1" customHeight="1" x14ac:dyDescent="0.2">
      <c r="A591" s="278"/>
      <c r="B591" s="279" t="s">
        <v>74</v>
      </c>
      <c r="C591" s="262" t="s">
        <v>75</v>
      </c>
      <c r="D591" s="261" t="s">
        <v>77</v>
      </c>
      <c r="E591" s="285"/>
      <c r="F591" s="285"/>
      <c r="G591" s="285"/>
      <c r="H591" s="285"/>
      <c r="I591" s="285"/>
      <c r="J591" s="285"/>
    </row>
    <row r="592" spans="1:10" ht="42.95" customHeight="1" x14ac:dyDescent="0.2">
      <c r="A592" s="278"/>
      <c r="B592" s="278"/>
      <c r="C592" s="263" t="s">
        <v>243</v>
      </c>
      <c r="D592" s="261" t="s">
        <v>79</v>
      </c>
      <c r="E592" s="267">
        <v>8</v>
      </c>
      <c r="F592" s="267">
        <v>12852</v>
      </c>
      <c r="G592" s="267">
        <v>102813</v>
      </c>
      <c r="H592" s="267">
        <v>2657</v>
      </c>
      <c r="I592" s="267">
        <v>21256</v>
      </c>
      <c r="J592" s="267">
        <v>81557</v>
      </c>
    </row>
    <row r="593" spans="1:10" ht="42.95" customHeight="1" x14ac:dyDescent="0.2">
      <c r="A593" s="278"/>
      <c r="B593" s="278"/>
      <c r="C593" s="263" t="s">
        <v>245</v>
      </c>
      <c r="D593" s="261" t="s">
        <v>79</v>
      </c>
      <c r="E593" s="267">
        <v>2397</v>
      </c>
      <c r="F593" s="267">
        <v>12172</v>
      </c>
      <c r="G593" s="267">
        <v>29177355</v>
      </c>
      <c r="H593" s="267">
        <v>1978</v>
      </c>
      <c r="I593" s="267">
        <v>4740887</v>
      </c>
      <c r="J593" s="267">
        <v>24436468</v>
      </c>
    </row>
    <row r="594" spans="1:10" ht="42.95" customHeight="1" x14ac:dyDescent="0.2">
      <c r="A594" s="278"/>
      <c r="B594" s="279" t="s">
        <v>89</v>
      </c>
      <c r="C594" s="277" t="s">
        <v>243</v>
      </c>
      <c r="D594" s="261" t="s">
        <v>94</v>
      </c>
      <c r="E594" s="267">
        <v>1</v>
      </c>
      <c r="F594" s="267">
        <v>0</v>
      </c>
      <c r="G594" s="267">
        <v>0</v>
      </c>
      <c r="H594" s="267">
        <v>0</v>
      </c>
      <c r="I594" s="267">
        <v>0</v>
      </c>
      <c r="J594" s="267">
        <v>0</v>
      </c>
    </row>
    <row r="595" spans="1:10" ht="14.1" customHeight="1" x14ac:dyDescent="0.2">
      <c r="A595" s="278"/>
      <c r="B595" s="278"/>
      <c r="C595" s="278"/>
      <c r="D595" s="261" t="s">
        <v>84</v>
      </c>
      <c r="E595" s="267">
        <v>1</v>
      </c>
      <c r="F595" s="267">
        <v>9165</v>
      </c>
      <c r="G595" s="267">
        <v>9165</v>
      </c>
      <c r="H595" s="267">
        <v>2296</v>
      </c>
      <c r="I595" s="267">
        <v>2296</v>
      </c>
      <c r="J595" s="267">
        <v>6869</v>
      </c>
    </row>
    <row r="596" spans="1:10" ht="14.1" customHeight="1" x14ac:dyDescent="0.2">
      <c r="A596" s="278"/>
      <c r="B596" s="278"/>
      <c r="C596" s="278"/>
      <c r="D596" s="261" t="s">
        <v>105</v>
      </c>
      <c r="E596" s="267">
        <v>10</v>
      </c>
      <c r="F596" s="267">
        <v>9435</v>
      </c>
      <c r="G596" s="267">
        <v>94355</v>
      </c>
      <c r="H596" s="267">
        <v>2567</v>
      </c>
      <c r="I596" s="267">
        <v>25669</v>
      </c>
      <c r="J596" s="267">
        <v>68685</v>
      </c>
    </row>
    <row r="597" spans="1:10" ht="42.95" customHeight="1" x14ac:dyDescent="0.2">
      <c r="A597" s="278"/>
      <c r="B597" s="278"/>
      <c r="C597" s="277" t="s">
        <v>245</v>
      </c>
      <c r="D597" s="261" t="s">
        <v>84</v>
      </c>
      <c r="E597" s="267">
        <v>3221</v>
      </c>
      <c r="F597" s="267">
        <v>8486</v>
      </c>
      <c r="G597" s="267">
        <v>27331954</v>
      </c>
      <c r="H597" s="267">
        <v>1617</v>
      </c>
      <c r="I597" s="267">
        <v>5208413</v>
      </c>
      <c r="J597" s="267">
        <v>22123541</v>
      </c>
    </row>
    <row r="598" spans="1:10" ht="14.1" customHeight="1" x14ac:dyDescent="0.2">
      <c r="A598" s="278"/>
      <c r="B598" s="278"/>
      <c r="C598" s="278"/>
      <c r="D598" s="261" t="s">
        <v>105</v>
      </c>
      <c r="E598" s="267">
        <v>276</v>
      </c>
      <c r="F598" s="267">
        <v>8756</v>
      </c>
      <c r="G598" s="267">
        <v>2416728</v>
      </c>
      <c r="H598" s="267">
        <v>1888</v>
      </c>
      <c r="I598" s="267">
        <v>521014</v>
      </c>
      <c r="J598" s="267">
        <v>1895715</v>
      </c>
    </row>
    <row r="599" spans="1:10" ht="14.1" customHeight="1" x14ac:dyDescent="0.2">
      <c r="A599" s="278"/>
      <c r="B599" s="279" t="s">
        <v>80</v>
      </c>
      <c r="C599" s="280" t="s">
        <v>75</v>
      </c>
      <c r="D599" s="261" t="s">
        <v>81</v>
      </c>
      <c r="E599" s="267">
        <v>2</v>
      </c>
      <c r="F599" s="267">
        <v>22977</v>
      </c>
      <c r="G599" s="267">
        <v>45953</v>
      </c>
      <c r="H599" s="267">
        <v>3812</v>
      </c>
      <c r="I599" s="267">
        <v>7623</v>
      </c>
      <c r="J599" s="267">
        <v>38330</v>
      </c>
    </row>
    <row r="600" spans="1:10" ht="14.1" customHeight="1" x14ac:dyDescent="0.2">
      <c r="A600" s="278"/>
      <c r="B600" s="278"/>
      <c r="C600" s="278"/>
      <c r="D600" s="261" t="s">
        <v>82</v>
      </c>
      <c r="E600" s="267">
        <v>170</v>
      </c>
      <c r="F600" s="267">
        <v>19789</v>
      </c>
      <c r="G600" s="267">
        <v>3364160</v>
      </c>
      <c r="H600" s="267">
        <v>3812</v>
      </c>
      <c r="I600" s="267">
        <v>647966</v>
      </c>
      <c r="J600" s="267">
        <v>2716194</v>
      </c>
    </row>
    <row r="601" spans="1:10" ht="42.95" customHeight="1" x14ac:dyDescent="0.2">
      <c r="A601" s="278"/>
      <c r="B601" s="277" t="s">
        <v>246</v>
      </c>
      <c r="C601" s="280" t="s">
        <v>75</v>
      </c>
      <c r="D601" s="261" t="s">
        <v>91</v>
      </c>
      <c r="E601" s="267">
        <v>2</v>
      </c>
      <c r="F601" s="267">
        <v>18108</v>
      </c>
      <c r="G601" s="267">
        <v>36216</v>
      </c>
      <c r="H601" s="267">
        <v>0</v>
      </c>
      <c r="I601" s="267">
        <v>0</v>
      </c>
      <c r="J601" s="267">
        <v>36216</v>
      </c>
    </row>
    <row r="602" spans="1:10" ht="14.1" customHeight="1" x14ac:dyDescent="0.2">
      <c r="A602" s="278"/>
      <c r="B602" s="278"/>
      <c r="C602" s="278"/>
      <c r="D602" s="261" t="s">
        <v>97</v>
      </c>
      <c r="E602" s="267">
        <v>5</v>
      </c>
      <c r="F602" s="267">
        <v>11317</v>
      </c>
      <c r="G602" s="267">
        <v>56585</v>
      </c>
      <c r="H602" s="267">
        <v>0</v>
      </c>
      <c r="I602" s="267">
        <v>0</v>
      </c>
      <c r="J602" s="267">
        <v>56585</v>
      </c>
    </row>
    <row r="603" spans="1:10" ht="14.1" customHeight="1" x14ac:dyDescent="0.2">
      <c r="A603" s="278"/>
      <c r="B603" s="278"/>
      <c r="C603" s="278"/>
      <c r="D603" s="261" t="s">
        <v>90</v>
      </c>
      <c r="E603" s="267">
        <v>27</v>
      </c>
      <c r="F603" s="267">
        <v>7696</v>
      </c>
      <c r="G603" s="267">
        <v>207780</v>
      </c>
      <c r="H603" s="267">
        <v>0</v>
      </c>
      <c r="I603" s="267">
        <v>0</v>
      </c>
      <c r="J603" s="267">
        <v>207780</v>
      </c>
    </row>
    <row r="604" spans="1:10" ht="14.1" customHeight="1" x14ac:dyDescent="0.2">
      <c r="A604" s="278"/>
      <c r="B604" s="278"/>
      <c r="C604" s="278"/>
      <c r="D604" s="261" t="s">
        <v>76</v>
      </c>
      <c r="E604" s="267">
        <v>123</v>
      </c>
      <c r="F604" s="267">
        <v>36385</v>
      </c>
      <c r="G604" s="267">
        <v>4475399</v>
      </c>
      <c r="H604" s="267">
        <v>0</v>
      </c>
      <c r="I604" s="267">
        <v>0</v>
      </c>
      <c r="J604" s="267">
        <v>4475399</v>
      </c>
    </row>
    <row r="605" spans="1:10" ht="14.1" customHeight="1" x14ac:dyDescent="0.2">
      <c r="A605" s="278"/>
      <c r="B605" s="278"/>
      <c r="C605" s="278"/>
      <c r="D605" s="261" t="s">
        <v>155</v>
      </c>
      <c r="E605" s="267">
        <v>1</v>
      </c>
      <c r="F605" s="267">
        <v>4362</v>
      </c>
      <c r="G605" s="267">
        <v>4362</v>
      </c>
      <c r="H605" s="267">
        <v>0</v>
      </c>
      <c r="I605" s="267">
        <v>0</v>
      </c>
      <c r="J605" s="267">
        <v>4362</v>
      </c>
    </row>
    <row r="606" spans="1:10" ht="14.1" customHeight="1" x14ac:dyDescent="0.2">
      <c r="A606" s="278"/>
      <c r="B606" s="278"/>
      <c r="C606" s="278"/>
      <c r="D606" s="261" t="s">
        <v>151</v>
      </c>
      <c r="E606" s="267">
        <v>9</v>
      </c>
      <c r="F606" s="267">
        <v>5752</v>
      </c>
      <c r="G606" s="267">
        <v>51772</v>
      </c>
      <c r="H606" s="267">
        <v>0</v>
      </c>
      <c r="I606" s="267">
        <v>0</v>
      </c>
      <c r="J606" s="267">
        <v>51772</v>
      </c>
    </row>
    <row r="607" spans="1:10" ht="42.95" customHeight="1" x14ac:dyDescent="0.2">
      <c r="A607" s="278"/>
      <c r="B607" s="278"/>
      <c r="C607" s="277" t="s">
        <v>243</v>
      </c>
      <c r="D607" s="261" t="s">
        <v>86</v>
      </c>
      <c r="E607" s="267">
        <v>2</v>
      </c>
      <c r="F607" s="267">
        <v>19577</v>
      </c>
      <c r="G607" s="267">
        <v>39154</v>
      </c>
      <c r="H607" s="267">
        <v>1469</v>
      </c>
      <c r="I607" s="267">
        <v>2938</v>
      </c>
      <c r="J607" s="267">
        <v>36216</v>
      </c>
    </row>
    <row r="608" spans="1:10" ht="14.1" customHeight="1" x14ac:dyDescent="0.2">
      <c r="A608" s="278"/>
      <c r="B608" s="278"/>
      <c r="C608" s="278"/>
      <c r="D608" s="261" t="s">
        <v>84</v>
      </c>
      <c r="E608" s="267">
        <v>1</v>
      </c>
      <c r="F608" s="267">
        <v>9165</v>
      </c>
      <c r="G608" s="267">
        <v>9165</v>
      </c>
      <c r="H608" s="267">
        <v>1469</v>
      </c>
      <c r="I608" s="267">
        <v>1469</v>
      </c>
      <c r="J608" s="267">
        <v>7696</v>
      </c>
    </row>
    <row r="609" spans="1:10" ht="14.1" customHeight="1" x14ac:dyDescent="0.2">
      <c r="A609" s="278"/>
      <c r="B609" s="278"/>
      <c r="C609" s="278"/>
      <c r="D609" s="261" t="s">
        <v>78</v>
      </c>
      <c r="E609" s="267">
        <v>3</v>
      </c>
      <c r="F609" s="267">
        <v>37855</v>
      </c>
      <c r="G609" s="267">
        <v>113564</v>
      </c>
      <c r="H609" s="267">
        <v>1469</v>
      </c>
      <c r="I609" s="267">
        <v>4408</v>
      </c>
      <c r="J609" s="267">
        <v>109156</v>
      </c>
    </row>
    <row r="610" spans="1:10" ht="14.1" customHeight="1" x14ac:dyDescent="0.2">
      <c r="A610" s="278"/>
      <c r="B610" s="278"/>
      <c r="C610" s="278"/>
      <c r="D610" s="261" t="s">
        <v>152</v>
      </c>
      <c r="E610" s="267">
        <v>2</v>
      </c>
      <c r="F610" s="267">
        <v>28681</v>
      </c>
      <c r="G610" s="267">
        <v>57362</v>
      </c>
      <c r="H610" s="267">
        <v>1469</v>
      </c>
      <c r="I610" s="267">
        <v>2938</v>
      </c>
      <c r="J610" s="267">
        <v>54424</v>
      </c>
    </row>
    <row r="611" spans="1:10" ht="14.1" customHeight="1" x14ac:dyDescent="0.2">
      <c r="A611" s="278"/>
      <c r="B611" s="278"/>
      <c r="C611" s="278"/>
      <c r="D611" s="261" t="s">
        <v>153</v>
      </c>
      <c r="E611" s="267">
        <v>5</v>
      </c>
      <c r="F611" s="267">
        <v>5831</v>
      </c>
      <c r="G611" s="267">
        <v>29157</v>
      </c>
      <c r="H611" s="267">
        <v>1469</v>
      </c>
      <c r="I611" s="267">
        <v>7346</v>
      </c>
      <c r="J611" s="267">
        <v>21811</v>
      </c>
    </row>
    <row r="612" spans="1:10" ht="42.95" customHeight="1" x14ac:dyDescent="0.2">
      <c r="A612" s="278"/>
      <c r="B612" s="278"/>
      <c r="C612" s="277" t="s">
        <v>245</v>
      </c>
      <c r="D612" s="261" t="s">
        <v>92</v>
      </c>
      <c r="E612" s="267">
        <v>268</v>
      </c>
      <c r="F612" s="267">
        <v>31120</v>
      </c>
      <c r="G612" s="267">
        <v>8340274</v>
      </c>
      <c r="H612" s="267">
        <v>790</v>
      </c>
      <c r="I612" s="267">
        <v>211715</v>
      </c>
      <c r="J612" s="267">
        <v>8128559</v>
      </c>
    </row>
    <row r="613" spans="1:10" ht="14.1" customHeight="1" x14ac:dyDescent="0.2">
      <c r="A613" s="278"/>
      <c r="B613" s="278"/>
      <c r="C613" s="278"/>
      <c r="D613" s="261" t="s">
        <v>86</v>
      </c>
      <c r="E613" s="267">
        <v>967</v>
      </c>
      <c r="F613" s="267">
        <v>18898</v>
      </c>
      <c r="G613" s="267">
        <v>18274250</v>
      </c>
      <c r="H613" s="267">
        <v>790</v>
      </c>
      <c r="I613" s="267">
        <v>763911</v>
      </c>
      <c r="J613" s="267">
        <v>17510339</v>
      </c>
    </row>
    <row r="614" spans="1:10" ht="14.1" customHeight="1" x14ac:dyDescent="0.2">
      <c r="A614" s="278"/>
      <c r="B614" s="278"/>
      <c r="C614" s="278"/>
      <c r="D614" s="261" t="s">
        <v>87</v>
      </c>
      <c r="E614" s="267">
        <v>412</v>
      </c>
      <c r="F614" s="267">
        <v>12107</v>
      </c>
      <c r="G614" s="267">
        <v>4988058</v>
      </c>
      <c r="H614" s="267">
        <v>790</v>
      </c>
      <c r="I614" s="267">
        <v>325472</v>
      </c>
      <c r="J614" s="267">
        <v>4662586</v>
      </c>
    </row>
    <row r="615" spans="1:10" ht="14.1" customHeight="1" x14ac:dyDescent="0.2">
      <c r="A615" s="278"/>
      <c r="B615" s="278"/>
      <c r="C615" s="278"/>
      <c r="D615" s="261" t="s">
        <v>84</v>
      </c>
      <c r="E615" s="267">
        <v>215</v>
      </c>
      <c r="F615" s="267">
        <v>8486</v>
      </c>
      <c r="G615" s="267">
        <v>1824393</v>
      </c>
      <c r="H615" s="267">
        <v>790</v>
      </c>
      <c r="I615" s="267">
        <v>169846</v>
      </c>
      <c r="J615" s="267">
        <v>1654547</v>
      </c>
    </row>
    <row r="616" spans="1:10" ht="14.1" customHeight="1" x14ac:dyDescent="0.2">
      <c r="A616" s="278"/>
      <c r="B616" s="278"/>
      <c r="C616" s="278"/>
      <c r="D616" s="261" t="s">
        <v>88</v>
      </c>
      <c r="E616" s="267">
        <v>10</v>
      </c>
      <c r="F616" s="267">
        <v>2149</v>
      </c>
      <c r="G616" s="267">
        <v>21493</v>
      </c>
      <c r="H616" s="267">
        <v>790</v>
      </c>
      <c r="I616" s="267">
        <v>7900</v>
      </c>
      <c r="J616" s="267">
        <v>13593</v>
      </c>
    </row>
    <row r="617" spans="1:10" ht="14.1" customHeight="1" x14ac:dyDescent="0.2">
      <c r="A617" s="278"/>
      <c r="B617" s="278"/>
      <c r="C617" s="278"/>
      <c r="D617" s="261" t="s">
        <v>78</v>
      </c>
      <c r="E617" s="267">
        <v>3374</v>
      </c>
      <c r="F617" s="267">
        <v>37175</v>
      </c>
      <c r="G617" s="267">
        <v>125429588</v>
      </c>
      <c r="H617" s="267">
        <v>790</v>
      </c>
      <c r="I617" s="267">
        <v>2665395</v>
      </c>
      <c r="J617" s="267">
        <v>122764193</v>
      </c>
    </row>
    <row r="618" spans="1:10" ht="14.1" customHeight="1" x14ac:dyDescent="0.2">
      <c r="A618" s="278"/>
      <c r="B618" s="278"/>
      <c r="C618" s="278"/>
      <c r="D618" s="261" t="s">
        <v>152</v>
      </c>
      <c r="E618" s="267">
        <v>51</v>
      </c>
      <c r="F618" s="267">
        <v>28002</v>
      </c>
      <c r="G618" s="267">
        <v>1428098</v>
      </c>
      <c r="H618" s="267">
        <v>790</v>
      </c>
      <c r="I618" s="267">
        <v>40289</v>
      </c>
      <c r="J618" s="267">
        <v>1387809</v>
      </c>
    </row>
    <row r="619" spans="1:10" ht="14.1" customHeight="1" x14ac:dyDescent="0.2">
      <c r="A619" s="278"/>
      <c r="B619" s="278"/>
      <c r="C619" s="278"/>
      <c r="D619" s="261" t="s">
        <v>153</v>
      </c>
      <c r="E619" s="267">
        <v>668</v>
      </c>
      <c r="F619" s="267">
        <v>5152</v>
      </c>
      <c r="G619" s="267">
        <v>3441680</v>
      </c>
      <c r="H619" s="267">
        <v>790</v>
      </c>
      <c r="I619" s="267">
        <v>527707</v>
      </c>
      <c r="J619" s="267">
        <v>2913973</v>
      </c>
    </row>
    <row r="620" spans="1:10" ht="14.1" customHeight="1" x14ac:dyDescent="0.2">
      <c r="A620" s="278"/>
      <c r="B620" s="278"/>
      <c r="C620" s="278"/>
      <c r="D620" s="261" t="s">
        <v>154</v>
      </c>
      <c r="E620" s="267">
        <v>265</v>
      </c>
      <c r="F620" s="267">
        <v>6542</v>
      </c>
      <c r="G620" s="267">
        <v>1733733</v>
      </c>
      <c r="H620" s="267">
        <v>790</v>
      </c>
      <c r="I620" s="267">
        <v>209345</v>
      </c>
      <c r="J620" s="267">
        <v>1524388</v>
      </c>
    </row>
    <row r="621" spans="1:10" ht="29.1" customHeight="1" x14ac:dyDescent="0.2">
      <c r="A621" s="278"/>
      <c r="B621" s="277" t="s">
        <v>247</v>
      </c>
      <c r="C621" s="280" t="s">
        <v>75</v>
      </c>
      <c r="D621" s="261" t="s">
        <v>91</v>
      </c>
      <c r="E621" s="267">
        <v>4</v>
      </c>
      <c r="F621" s="267">
        <v>18108</v>
      </c>
      <c r="G621" s="267">
        <v>72432</v>
      </c>
      <c r="H621" s="267">
        <v>1188</v>
      </c>
      <c r="I621" s="267">
        <v>4751</v>
      </c>
      <c r="J621" s="267">
        <v>67680</v>
      </c>
    </row>
    <row r="622" spans="1:10" ht="14.1" customHeight="1" x14ac:dyDescent="0.2">
      <c r="A622" s="278"/>
      <c r="B622" s="278"/>
      <c r="C622" s="278"/>
      <c r="D622" s="261" t="s">
        <v>97</v>
      </c>
      <c r="E622" s="267">
        <v>3</v>
      </c>
      <c r="F622" s="267">
        <v>11317</v>
      </c>
      <c r="G622" s="267">
        <v>33951</v>
      </c>
      <c r="H622" s="267">
        <v>1188</v>
      </c>
      <c r="I622" s="267">
        <v>3564</v>
      </c>
      <c r="J622" s="267">
        <v>30387</v>
      </c>
    </row>
    <row r="623" spans="1:10" ht="14.1" customHeight="1" x14ac:dyDescent="0.2">
      <c r="A623" s="278"/>
      <c r="B623" s="278"/>
      <c r="C623" s="278"/>
      <c r="D623" s="261" t="s">
        <v>90</v>
      </c>
      <c r="E623" s="267">
        <v>410</v>
      </c>
      <c r="F623" s="267">
        <v>7696</v>
      </c>
      <c r="G623" s="267">
        <v>3155183</v>
      </c>
      <c r="H623" s="267">
        <v>1188</v>
      </c>
      <c r="I623" s="267">
        <v>487023</v>
      </c>
      <c r="J623" s="267">
        <v>2668160</v>
      </c>
    </row>
    <row r="624" spans="1:10" ht="14.1" customHeight="1" x14ac:dyDescent="0.2">
      <c r="A624" s="278"/>
      <c r="B624" s="278"/>
      <c r="C624" s="278"/>
      <c r="D624" s="261" t="s">
        <v>100</v>
      </c>
      <c r="E624" s="267">
        <v>5</v>
      </c>
      <c r="F624" s="267">
        <v>4981</v>
      </c>
      <c r="G624" s="267">
        <v>24904</v>
      </c>
      <c r="H624" s="267">
        <v>1188</v>
      </c>
      <c r="I624" s="267">
        <v>5939</v>
      </c>
      <c r="J624" s="267">
        <v>18964</v>
      </c>
    </row>
    <row r="625" spans="1:10" ht="14.1" customHeight="1" x14ac:dyDescent="0.2">
      <c r="A625" s="278"/>
      <c r="B625" s="278"/>
      <c r="C625" s="278"/>
      <c r="D625" s="261" t="s">
        <v>103</v>
      </c>
      <c r="E625" s="267">
        <v>1</v>
      </c>
      <c r="F625" s="267">
        <v>1359</v>
      </c>
      <c r="G625" s="267">
        <v>1359</v>
      </c>
      <c r="H625" s="267">
        <v>1188</v>
      </c>
      <c r="I625" s="267">
        <v>1188</v>
      </c>
      <c r="J625" s="267">
        <v>171</v>
      </c>
    </row>
    <row r="626" spans="1:10" ht="42.95" customHeight="1" x14ac:dyDescent="0.2">
      <c r="A626" s="278"/>
      <c r="B626" s="278"/>
      <c r="C626" s="277" t="s">
        <v>243</v>
      </c>
      <c r="D626" s="261" t="s">
        <v>92</v>
      </c>
      <c r="E626" s="267">
        <v>1</v>
      </c>
      <c r="F626" s="267">
        <v>31800</v>
      </c>
      <c r="G626" s="267">
        <v>31800</v>
      </c>
      <c r="H626" s="267">
        <v>2657</v>
      </c>
      <c r="I626" s="267">
        <v>2657</v>
      </c>
      <c r="J626" s="267">
        <v>29143</v>
      </c>
    </row>
    <row r="627" spans="1:10" ht="14.1" customHeight="1" x14ac:dyDescent="0.2">
      <c r="A627" s="278"/>
      <c r="B627" s="278"/>
      <c r="C627" s="278"/>
      <c r="D627" s="261" t="s">
        <v>86</v>
      </c>
      <c r="E627" s="267">
        <v>12</v>
      </c>
      <c r="F627" s="267">
        <v>19577</v>
      </c>
      <c r="G627" s="267">
        <v>234925</v>
      </c>
      <c r="H627" s="267">
        <v>2657</v>
      </c>
      <c r="I627" s="267">
        <v>31884</v>
      </c>
      <c r="J627" s="267">
        <v>203040</v>
      </c>
    </row>
    <row r="628" spans="1:10" ht="14.1" customHeight="1" x14ac:dyDescent="0.2">
      <c r="A628" s="278"/>
      <c r="B628" s="278"/>
      <c r="C628" s="278"/>
      <c r="D628" s="261" t="s">
        <v>87</v>
      </c>
      <c r="E628" s="267">
        <v>12</v>
      </c>
      <c r="F628" s="267">
        <v>12786</v>
      </c>
      <c r="G628" s="267">
        <v>153434</v>
      </c>
      <c r="H628" s="267">
        <v>2657</v>
      </c>
      <c r="I628" s="267">
        <v>31884</v>
      </c>
      <c r="J628" s="267">
        <v>121549</v>
      </c>
    </row>
    <row r="629" spans="1:10" ht="14.1" customHeight="1" x14ac:dyDescent="0.2">
      <c r="A629" s="278"/>
      <c r="B629" s="278"/>
      <c r="C629" s="278"/>
      <c r="D629" s="261" t="s">
        <v>84</v>
      </c>
      <c r="E629" s="267">
        <v>21</v>
      </c>
      <c r="F629" s="267">
        <v>9165</v>
      </c>
      <c r="G629" s="267">
        <v>192460</v>
      </c>
      <c r="H629" s="267">
        <v>2657</v>
      </c>
      <c r="I629" s="267">
        <v>55798</v>
      </c>
      <c r="J629" s="267">
        <v>136662</v>
      </c>
    </row>
    <row r="630" spans="1:10" ht="42.95" customHeight="1" x14ac:dyDescent="0.2">
      <c r="A630" s="278"/>
      <c r="B630" s="278"/>
      <c r="C630" s="277" t="s">
        <v>245</v>
      </c>
      <c r="D630" s="261" t="s">
        <v>118</v>
      </c>
      <c r="E630" s="267">
        <v>2</v>
      </c>
      <c r="F630" s="267">
        <v>51490</v>
      </c>
      <c r="G630" s="267">
        <v>102981</v>
      </c>
      <c r="H630" s="267">
        <v>1978</v>
      </c>
      <c r="I630" s="267">
        <v>3956</v>
      </c>
      <c r="J630" s="267">
        <v>99025</v>
      </c>
    </row>
    <row r="631" spans="1:10" ht="14.1" customHeight="1" x14ac:dyDescent="0.2">
      <c r="A631" s="278"/>
      <c r="B631" s="278"/>
      <c r="C631" s="278"/>
      <c r="D631" s="261" t="s">
        <v>92</v>
      </c>
      <c r="E631" s="267">
        <v>624</v>
      </c>
      <c r="F631" s="267">
        <v>31120</v>
      </c>
      <c r="G631" s="267">
        <v>19419145</v>
      </c>
      <c r="H631" s="267">
        <v>1978</v>
      </c>
      <c r="I631" s="267">
        <v>1234173</v>
      </c>
      <c r="J631" s="267">
        <v>18184971</v>
      </c>
    </row>
    <row r="632" spans="1:10" ht="14.1" customHeight="1" x14ac:dyDescent="0.2">
      <c r="A632" s="278"/>
      <c r="B632" s="278"/>
      <c r="C632" s="278"/>
      <c r="D632" s="261" t="s">
        <v>86</v>
      </c>
      <c r="E632" s="267">
        <v>3116</v>
      </c>
      <c r="F632" s="267">
        <v>18898</v>
      </c>
      <c r="G632" s="267">
        <v>58885796</v>
      </c>
      <c r="H632" s="267">
        <v>1978</v>
      </c>
      <c r="I632" s="267">
        <v>6162956</v>
      </c>
      <c r="J632" s="267">
        <v>52722840</v>
      </c>
    </row>
    <row r="633" spans="1:10" ht="14.1" customHeight="1" x14ac:dyDescent="0.2">
      <c r="A633" s="278"/>
      <c r="B633" s="278"/>
      <c r="C633" s="278"/>
      <c r="D633" s="261" t="s">
        <v>87</v>
      </c>
      <c r="E633" s="267">
        <v>4097</v>
      </c>
      <c r="F633" s="267">
        <v>12107</v>
      </c>
      <c r="G633" s="267">
        <v>49602118</v>
      </c>
      <c r="H633" s="267">
        <v>1978</v>
      </c>
      <c r="I633" s="267">
        <v>8103219</v>
      </c>
      <c r="J633" s="267">
        <v>41498900</v>
      </c>
    </row>
    <row r="634" spans="1:10" ht="14.1" customHeight="1" x14ac:dyDescent="0.2">
      <c r="A634" s="278"/>
      <c r="B634" s="278"/>
      <c r="C634" s="278"/>
      <c r="D634" s="261" t="s">
        <v>84</v>
      </c>
      <c r="E634" s="267">
        <v>4158</v>
      </c>
      <c r="F634" s="267">
        <v>8486</v>
      </c>
      <c r="G634" s="267">
        <v>35282913</v>
      </c>
      <c r="H634" s="267">
        <v>1978</v>
      </c>
      <c r="I634" s="267">
        <v>8223867</v>
      </c>
      <c r="J634" s="267">
        <v>27059046</v>
      </c>
    </row>
    <row r="635" spans="1:10" ht="14.1" customHeight="1" x14ac:dyDescent="0.2">
      <c r="A635" s="278"/>
      <c r="B635" s="278"/>
      <c r="C635" s="278"/>
      <c r="D635" s="261" t="s">
        <v>85</v>
      </c>
      <c r="E635" s="267">
        <v>30</v>
      </c>
      <c r="F635" s="267">
        <v>5771</v>
      </c>
      <c r="G635" s="267">
        <v>173121</v>
      </c>
      <c r="H635" s="267">
        <v>1978</v>
      </c>
      <c r="I635" s="267">
        <v>59335</v>
      </c>
      <c r="J635" s="267">
        <v>113786</v>
      </c>
    </row>
    <row r="636" spans="1:10" ht="14.1" customHeight="1" x14ac:dyDescent="0.2">
      <c r="A636" s="278"/>
      <c r="B636" s="278"/>
      <c r="C636" s="278"/>
      <c r="D636" s="261" t="s">
        <v>88</v>
      </c>
      <c r="E636" s="267">
        <v>685</v>
      </c>
      <c r="F636" s="267">
        <v>2149</v>
      </c>
      <c r="G636" s="267">
        <v>1472288</v>
      </c>
      <c r="H636" s="267">
        <v>1978</v>
      </c>
      <c r="I636" s="267">
        <v>1354822</v>
      </c>
      <c r="J636" s="267">
        <v>117466</v>
      </c>
    </row>
    <row r="637" spans="1:10" ht="29.1" customHeight="1" x14ac:dyDescent="0.2">
      <c r="A637" s="277" t="s">
        <v>259</v>
      </c>
      <c r="B637" s="278" t="s">
        <v>60</v>
      </c>
      <c r="C637" s="278"/>
      <c r="D637" s="278"/>
      <c r="E637" s="267">
        <v>60883</v>
      </c>
      <c r="F637" s="267"/>
      <c r="G637" s="267">
        <v>876588182</v>
      </c>
      <c r="H637" s="267"/>
      <c r="I637" s="267">
        <v>92618229</v>
      </c>
      <c r="J637" s="267">
        <v>783969953</v>
      </c>
    </row>
    <row r="638" spans="1:10" ht="14.1" customHeight="1" x14ac:dyDescent="0.2">
      <c r="A638" s="278"/>
      <c r="B638" s="261" t="s">
        <v>71</v>
      </c>
      <c r="C638" s="261" t="s">
        <v>72</v>
      </c>
      <c r="D638" s="261" t="s">
        <v>73</v>
      </c>
      <c r="E638" s="284">
        <v>32</v>
      </c>
      <c r="F638" s="284">
        <v>11382</v>
      </c>
      <c r="G638" s="284">
        <v>364239</v>
      </c>
      <c r="H638" s="284">
        <v>0</v>
      </c>
      <c r="I638" s="284">
        <v>0</v>
      </c>
      <c r="J638" s="284">
        <v>364239</v>
      </c>
    </row>
    <row r="639" spans="1:10" ht="14.1" customHeight="1" x14ac:dyDescent="0.2">
      <c r="A639" s="278"/>
      <c r="B639" s="279" t="s">
        <v>74</v>
      </c>
      <c r="C639" s="262" t="s">
        <v>75</v>
      </c>
      <c r="D639" s="261" t="s">
        <v>77</v>
      </c>
      <c r="E639" s="285"/>
      <c r="F639" s="285"/>
      <c r="G639" s="285"/>
      <c r="H639" s="285"/>
      <c r="I639" s="285"/>
      <c r="J639" s="285"/>
    </row>
    <row r="640" spans="1:10" ht="42.95" customHeight="1" x14ac:dyDescent="0.2">
      <c r="A640" s="278"/>
      <c r="B640" s="278"/>
      <c r="C640" s="263" t="s">
        <v>243</v>
      </c>
      <c r="D640" s="261" t="s">
        <v>79</v>
      </c>
      <c r="E640" s="267">
        <v>7</v>
      </c>
      <c r="F640" s="267">
        <v>12852</v>
      </c>
      <c r="G640" s="267">
        <v>89961</v>
      </c>
      <c r="H640" s="267">
        <v>2657</v>
      </c>
      <c r="I640" s="267">
        <v>18599</v>
      </c>
      <c r="J640" s="267">
        <v>71362</v>
      </c>
    </row>
    <row r="641" spans="1:10" ht="42.95" customHeight="1" x14ac:dyDescent="0.2">
      <c r="A641" s="278"/>
      <c r="B641" s="278"/>
      <c r="C641" s="263" t="s">
        <v>244</v>
      </c>
      <c r="D641" s="261" t="s">
        <v>79</v>
      </c>
      <c r="E641" s="267">
        <v>46</v>
      </c>
      <c r="F641" s="267">
        <v>12546</v>
      </c>
      <c r="G641" s="267">
        <v>577102</v>
      </c>
      <c r="H641" s="267">
        <v>2430</v>
      </c>
      <c r="I641" s="267">
        <v>111765</v>
      </c>
      <c r="J641" s="267">
        <v>465337</v>
      </c>
    </row>
    <row r="642" spans="1:10" ht="42.95" customHeight="1" x14ac:dyDescent="0.2">
      <c r="A642" s="278"/>
      <c r="B642" s="278"/>
      <c r="C642" s="263" t="s">
        <v>245</v>
      </c>
      <c r="D642" s="261" t="s">
        <v>79</v>
      </c>
      <c r="E642" s="267">
        <v>5858</v>
      </c>
      <c r="F642" s="267">
        <v>12172</v>
      </c>
      <c r="G642" s="267">
        <v>71306195</v>
      </c>
      <c r="H642" s="267">
        <v>1978</v>
      </c>
      <c r="I642" s="267">
        <v>11586198</v>
      </c>
      <c r="J642" s="267">
        <v>59719996</v>
      </c>
    </row>
    <row r="643" spans="1:10" ht="14.1" customHeight="1" x14ac:dyDescent="0.2">
      <c r="A643" s="278"/>
      <c r="B643" s="279" t="s">
        <v>80</v>
      </c>
      <c r="C643" s="280" t="s">
        <v>75</v>
      </c>
      <c r="D643" s="261" t="s">
        <v>81</v>
      </c>
      <c r="E643" s="267">
        <v>1006</v>
      </c>
      <c r="F643" s="267">
        <v>22977</v>
      </c>
      <c r="G643" s="267">
        <v>23114539</v>
      </c>
      <c r="H643" s="267">
        <v>3812</v>
      </c>
      <c r="I643" s="267">
        <v>3834437</v>
      </c>
      <c r="J643" s="267">
        <v>19280103</v>
      </c>
    </row>
    <row r="644" spans="1:10" ht="14.1" customHeight="1" x14ac:dyDescent="0.2">
      <c r="A644" s="278"/>
      <c r="B644" s="278"/>
      <c r="C644" s="278"/>
      <c r="D644" s="261" t="s">
        <v>82</v>
      </c>
      <c r="E644" s="267">
        <v>2106</v>
      </c>
      <c r="F644" s="267">
        <v>19789</v>
      </c>
      <c r="G644" s="267">
        <v>41676011</v>
      </c>
      <c r="H644" s="267">
        <v>3812</v>
      </c>
      <c r="I644" s="267">
        <v>8027160</v>
      </c>
      <c r="J644" s="267">
        <v>33648851</v>
      </c>
    </row>
    <row r="645" spans="1:10" ht="42.95" customHeight="1" x14ac:dyDescent="0.2">
      <c r="A645" s="278"/>
      <c r="B645" s="277" t="s">
        <v>246</v>
      </c>
      <c r="C645" s="280" t="s">
        <v>75</v>
      </c>
      <c r="D645" s="261" t="s">
        <v>99</v>
      </c>
      <c r="E645" s="267">
        <v>12</v>
      </c>
      <c r="F645" s="267">
        <v>30330</v>
      </c>
      <c r="G645" s="267">
        <v>363965</v>
      </c>
      <c r="H645" s="267">
        <v>0</v>
      </c>
      <c r="I645" s="267">
        <v>0</v>
      </c>
      <c r="J645" s="267">
        <v>363965</v>
      </c>
    </row>
    <row r="646" spans="1:10" ht="14.1" customHeight="1" x14ac:dyDescent="0.2">
      <c r="A646" s="278"/>
      <c r="B646" s="278"/>
      <c r="C646" s="278"/>
      <c r="D646" s="261" t="s">
        <v>91</v>
      </c>
      <c r="E646" s="267">
        <v>155</v>
      </c>
      <c r="F646" s="267">
        <v>18108</v>
      </c>
      <c r="G646" s="267">
        <v>2806724</v>
      </c>
      <c r="H646" s="267">
        <v>0</v>
      </c>
      <c r="I646" s="267">
        <v>0</v>
      </c>
      <c r="J646" s="267">
        <v>2806724</v>
      </c>
    </row>
    <row r="647" spans="1:10" ht="14.1" customHeight="1" x14ac:dyDescent="0.2">
      <c r="A647" s="278"/>
      <c r="B647" s="278"/>
      <c r="C647" s="278"/>
      <c r="D647" s="261" t="s">
        <v>97</v>
      </c>
      <c r="E647" s="267">
        <v>20</v>
      </c>
      <c r="F647" s="267">
        <v>11317</v>
      </c>
      <c r="G647" s="267">
        <v>226339</v>
      </c>
      <c r="H647" s="267">
        <v>0</v>
      </c>
      <c r="I647" s="267">
        <v>0</v>
      </c>
      <c r="J647" s="267">
        <v>226339</v>
      </c>
    </row>
    <row r="648" spans="1:10" ht="14.1" customHeight="1" x14ac:dyDescent="0.2">
      <c r="A648" s="278"/>
      <c r="B648" s="278"/>
      <c r="C648" s="278"/>
      <c r="D648" s="261" t="s">
        <v>90</v>
      </c>
      <c r="E648" s="267">
        <v>25</v>
      </c>
      <c r="F648" s="267">
        <v>7696</v>
      </c>
      <c r="G648" s="267">
        <v>192389</v>
      </c>
      <c r="H648" s="267">
        <v>0</v>
      </c>
      <c r="I648" s="267">
        <v>0</v>
      </c>
      <c r="J648" s="267">
        <v>192389</v>
      </c>
    </row>
    <row r="649" spans="1:10" ht="14.1" customHeight="1" x14ac:dyDescent="0.2">
      <c r="A649" s="278"/>
      <c r="B649" s="278"/>
      <c r="C649" s="278"/>
      <c r="D649" s="261" t="s">
        <v>100</v>
      </c>
      <c r="E649" s="267">
        <v>2</v>
      </c>
      <c r="F649" s="267">
        <v>4981</v>
      </c>
      <c r="G649" s="267">
        <v>9961</v>
      </c>
      <c r="H649" s="267">
        <v>0</v>
      </c>
      <c r="I649" s="267">
        <v>0</v>
      </c>
      <c r="J649" s="267">
        <v>9961</v>
      </c>
    </row>
    <row r="650" spans="1:10" ht="14.1" customHeight="1" x14ac:dyDescent="0.2">
      <c r="A650" s="278"/>
      <c r="B650" s="278"/>
      <c r="C650" s="278"/>
      <c r="D650" s="261" t="s">
        <v>98</v>
      </c>
      <c r="E650" s="267">
        <v>12</v>
      </c>
      <c r="F650" s="267">
        <v>2717</v>
      </c>
      <c r="G650" s="267">
        <v>32601</v>
      </c>
      <c r="H650" s="267">
        <v>0</v>
      </c>
      <c r="I650" s="267">
        <v>0</v>
      </c>
      <c r="J650" s="267">
        <v>32601</v>
      </c>
    </row>
    <row r="651" spans="1:10" ht="14.1" customHeight="1" x14ac:dyDescent="0.2">
      <c r="A651" s="278"/>
      <c r="B651" s="278"/>
      <c r="C651" s="278"/>
      <c r="D651" s="261" t="s">
        <v>103</v>
      </c>
      <c r="E651" s="267">
        <v>3</v>
      </c>
      <c r="F651" s="267">
        <v>1359</v>
      </c>
      <c r="G651" s="267">
        <v>4078</v>
      </c>
      <c r="H651" s="267">
        <v>0</v>
      </c>
      <c r="I651" s="267">
        <v>0</v>
      </c>
      <c r="J651" s="267">
        <v>4078</v>
      </c>
    </row>
    <row r="652" spans="1:10" ht="14.1" customHeight="1" x14ac:dyDescent="0.2">
      <c r="A652" s="278"/>
      <c r="B652" s="278"/>
      <c r="C652" s="278"/>
      <c r="D652" s="261" t="s">
        <v>76</v>
      </c>
      <c r="E652" s="267">
        <v>293</v>
      </c>
      <c r="F652" s="267">
        <v>36385</v>
      </c>
      <c r="G652" s="267">
        <v>10660909</v>
      </c>
      <c r="H652" s="267">
        <v>0</v>
      </c>
      <c r="I652" s="267">
        <v>0</v>
      </c>
      <c r="J652" s="267">
        <v>10660909</v>
      </c>
    </row>
    <row r="653" spans="1:10" ht="14.1" customHeight="1" x14ac:dyDescent="0.2">
      <c r="A653" s="278"/>
      <c r="B653" s="278"/>
      <c r="C653" s="278"/>
      <c r="D653" s="261" t="s">
        <v>156</v>
      </c>
      <c r="E653" s="267">
        <v>5</v>
      </c>
      <c r="F653" s="267">
        <v>27212</v>
      </c>
      <c r="G653" s="267">
        <v>136060</v>
      </c>
      <c r="H653" s="267">
        <v>0</v>
      </c>
      <c r="I653" s="267">
        <v>0</v>
      </c>
      <c r="J653" s="267">
        <v>136060</v>
      </c>
    </row>
    <row r="654" spans="1:10" ht="14.1" customHeight="1" x14ac:dyDescent="0.2">
      <c r="A654" s="278"/>
      <c r="B654" s="278"/>
      <c r="C654" s="278"/>
      <c r="D654" s="261" t="s">
        <v>155</v>
      </c>
      <c r="E654" s="267">
        <v>13</v>
      </c>
      <c r="F654" s="267">
        <v>4362</v>
      </c>
      <c r="G654" s="267">
        <v>56709</v>
      </c>
      <c r="H654" s="267">
        <v>0</v>
      </c>
      <c r="I654" s="267">
        <v>0</v>
      </c>
      <c r="J654" s="267">
        <v>56709</v>
      </c>
    </row>
    <row r="655" spans="1:10" ht="14.1" customHeight="1" x14ac:dyDescent="0.2">
      <c r="A655" s="278"/>
      <c r="B655" s="278"/>
      <c r="C655" s="278"/>
      <c r="D655" s="261" t="s">
        <v>151</v>
      </c>
      <c r="E655" s="267">
        <v>201</v>
      </c>
      <c r="F655" s="267">
        <v>5752</v>
      </c>
      <c r="G655" s="267">
        <v>1156234</v>
      </c>
      <c r="H655" s="267">
        <v>0</v>
      </c>
      <c r="I655" s="267">
        <v>0</v>
      </c>
      <c r="J655" s="267">
        <v>1156234</v>
      </c>
    </row>
    <row r="656" spans="1:10" ht="42.95" customHeight="1" x14ac:dyDescent="0.2">
      <c r="A656" s="278"/>
      <c r="B656" s="278"/>
      <c r="C656" s="277" t="s">
        <v>243</v>
      </c>
      <c r="D656" s="261" t="s">
        <v>83</v>
      </c>
      <c r="E656" s="267">
        <v>33</v>
      </c>
      <c r="F656" s="267">
        <v>3452</v>
      </c>
      <c r="G656" s="267">
        <v>113910</v>
      </c>
      <c r="H656" s="267">
        <v>1469</v>
      </c>
      <c r="I656" s="267">
        <v>48483</v>
      </c>
      <c r="J656" s="267">
        <v>65428</v>
      </c>
    </row>
    <row r="657" spans="1:10" ht="14.1" customHeight="1" x14ac:dyDescent="0.2">
      <c r="A657" s="278"/>
      <c r="B657" s="278"/>
      <c r="C657" s="278"/>
      <c r="D657" s="261" t="s">
        <v>92</v>
      </c>
      <c r="E657" s="267">
        <v>5</v>
      </c>
      <c r="F657" s="267">
        <v>31800</v>
      </c>
      <c r="G657" s="267">
        <v>158998</v>
      </c>
      <c r="H657" s="267">
        <v>1469</v>
      </c>
      <c r="I657" s="267">
        <v>7346</v>
      </c>
      <c r="J657" s="267">
        <v>151652</v>
      </c>
    </row>
    <row r="658" spans="1:10" ht="14.1" customHeight="1" x14ac:dyDescent="0.2">
      <c r="A658" s="278"/>
      <c r="B658" s="278"/>
      <c r="C658" s="278"/>
      <c r="D658" s="261" t="s">
        <v>86</v>
      </c>
      <c r="E658" s="267">
        <v>38</v>
      </c>
      <c r="F658" s="267">
        <v>19577</v>
      </c>
      <c r="G658" s="267">
        <v>743929</v>
      </c>
      <c r="H658" s="267">
        <v>1469</v>
      </c>
      <c r="I658" s="267">
        <v>55829</v>
      </c>
      <c r="J658" s="267">
        <v>688100</v>
      </c>
    </row>
    <row r="659" spans="1:10" ht="14.1" customHeight="1" x14ac:dyDescent="0.2">
      <c r="A659" s="278"/>
      <c r="B659" s="278"/>
      <c r="C659" s="278"/>
      <c r="D659" s="261" t="s">
        <v>87</v>
      </c>
      <c r="E659" s="267">
        <v>16</v>
      </c>
      <c r="F659" s="267">
        <v>12786</v>
      </c>
      <c r="G659" s="267">
        <v>204578</v>
      </c>
      <c r="H659" s="267">
        <v>1469</v>
      </c>
      <c r="I659" s="267">
        <v>23507</v>
      </c>
      <c r="J659" s="267">
        <v>181071</v>
      </c>
    </row>
    <row r="660" spans="1:10" ht="14.1" customHeight="1" x14ac:dyDescent="0.2">
      <c r="A660" s="278"/>
      <c r="B660" s="278"/>
      <c r="C660" s="278"/>
      <c r="D660" s="261" t="s">
        <v>84</v>
      </c>
      <c r="E660" s="267">
        <v>36</v>
      </c>
      <c r="F660" s="267">
        <v>9165</v>
      </c>
      <c r="G660" s="267">
        <v>329931</v>
      </c>
      <c r="H660" s="267">
        <v>1469</v>
      </c>
      <c r="I660" s="267">
        <v>52890</v>
      </c>
      <c r="J660" s="267">
        <v>277040</v>
      </c>
    </row>
    <row r="661" spans="1:10" ht="14.1" customHeight="1" x14ac:dyDescent="0.2">
      <c r="A661" s="278"/>
      <c r="B661" s="278"/>
      <c r="C661" s="278"/>
      <c r="D661" s="261" t="s">
        <v>85</v>
      </c>
      <c r="E661" s="267">
        <v>1</v>
      </c>
      <c r="F661" s="267">
        <v>6450</v>
      </c>
      <c r="G661" s="267">
        <v>6450</v>
      </c>
      <c r="H661" s="267">
        <v>1469</v>
      </c>
      <c r="I661" s="267">
        <v>1469</v>
      </c>
      <c r="J661" s="267">
        <v>4981</v>
      </c>
    </row>
    <row r="662" spans="1:10" ht="14.1" customHeight="1" x14ac:dyDescent="0.2">
      <c r="A662" s="278"/>
      <c r="B662" s="278"/>
      <c r="C662" s="278"/>
      <c r="D662" s="261" t="s">
        <v>78</v>
      </c>
      <c r="E662" s="267">
        <v>44</v>
      </c>
      <c r="F662" s="267">
        <v>37855</v>
      </c>
      <c r="G662" s="267">
        <v>1665599</v>
      </c>
      <c r="H662" s="267">
        <v>1469</v>
      </c>
      <c r="I662" s="267">
        <v>64644</v>
      </c>
      <c r="J662" s="267">
        <v>1600956</v>
      </c>
    </row>
    <row r="663" spans="1:10" ht="14.1" customHeight="1" x14ac:dyDescent="0.2">
      <c r="A663" s="278"/>
      <c r="B663" s="278"/>
      <c r="C663" s="278"/>
      <c r="D663" s="261" t="s">
        <v>152</v>
      </c>
      <c r="E663" s="267">
        <v>2</v>
      </c>
      <c r="F663" s="267">
        <v>28681</v>
      </c>
      <c r="G663" s="267">
        <v>57362</v>
      </c>
      <c r="H663" s="267">
        <v>1469</v>
      </c>
      <c r="I663" s="267">
        <v>2938</v>
      </c>
      <c r="J663" s="267">
        <v>54424</v>
      </c>
    </row>
    <row r="664" spans="1:10" ht="14.1" customHeight="1" x14ac:dyDescent="0.2">
      <c r="A664" s="278"/>
      <c r="B664" s="278"/>
      <c r="C664" s="278"/>
      <c r="D664" s="261" t="s">
        <v>153</v>
      </c>
      <c r="E664" s="267">
        <v>107</v>
      </c>
      <c r="F664" s="267">
        <v>5831</v>
      </c>
      <c r="G664" s="267">
        <v>623961</v>
      </c>
      <c r="H664" s="267">
        <v>1469</v>
      </c>
      <c r="I664" s="267">
        <v>157201</v>
      </c>
      <c r="J664" s="267">
        <v>466759</v>
      </c>
    </row>
    <row r="665" spans="1:10" ht="14.1" customHeight="1" x14ac:dyDescent="0.2">
      <c r="A665" s="278"/>
      <c r="B665" s="278"/>
      <c r="C665" s="278"/>
      <c r="D665" s="261" t="s">
        <v>154</v>
      </c>
      <c r="E665" s="267">
        <v>67</v>
      </c>
      <c r="F665" s="267">
        <v>7222</v>
      </c>
      <c r="G665" s="267">
        <v>483846</v>
      </c>
      <c r="H665" s="267">
        <v>1469</v>
      </c>
      <c r="I665" s="267">
        <v>98434</v>
      </c>
      <c r="J665" s="267">
        <v>385411</v>
      </c>
    </row>
    <row r="666" spans="1:10" ht="42.95" customHeight="1" x14ac:dyDescent="0.2">
      <c r="A666" s="278"/>
      <c r="B666" s="278"/>
      <c r="C666" s="277" t="s">
        <v>244</v>
      </c>
      <c r="D666" s="261" t="s">
        <v>83</v>
      </c>
      <c r="E666" s="267">
        <v>21</v>
      </c>
      <c r="F666" s="267">
        <v>3224</v>
      </c>
      <c r="G666" s="267">
        <v>67714</v>
      </c>
      <c r="H666" s="267">
        <v>1242</v>
      </c>
      <c r="I666" s="267">
        <v>26078</v>
      </c>
      <c r="J666" s="267">
        <v>41636</v>
      </c>
    </row>
    <row r="667" spans="1:10" ht="14.1" customHeight="1" x14ac:dyDescent="0.2">
      <c r="A667" s="278"/>
      <c r="B667" s="278"/>
      <c r="C667" s="278"/>
      <c r="D667" s="261" t="s">
        <v>118</v>
      </c>
      <c r="E667" s="267">
        <v>2</v>
      </c>
      <c r="F667" s="267">
        <v>51942</v>
      </c>
      <c r="G667" s="267">
        <v>103884</v>
      </c>
      <c r="H667" s="267">
        <v>1242</v>
      </c>
      <c r="I667" s="267">
        <v>2484</v>
      </c>
      <c r="J667" s="267">
        <v>101401</v>
      </c>
    </row>
    <row r="668" spans="1:10" ht="14.1" customHeight="1" x14ac:dyDescent="0.2">
      <c r="A668" s="278"/>
      <c r="B668" s="278"/>
      <c r="C668" s="278"/>
      <c r="D668" s="261" t="s">
        <v>92</v>
      </c>
      <c r="E668" s="267">
        <v>120</v>
      </c>
      <c r="F668" s="267">
        <v>31486</v>
      </c>
      <c r="G668" s="267">
        <v>3778278</v>
      </c>
      <c r="H668" s="267">
        <v>1242</v>
      </c>
      <c r="I668" s="267">
        <v>149017</v>
      </c>
      <c r="J668" s="267">
        <v>3629261</v>
      </c>
    </row>
    <row r="669" spans="1:10" ht="14.1" customHeight="1" x14ac:dyDescent="0.2">
      <c r="A669" s="278"/>
      <c r="B669" s="278"/>
      <c r="C669" s="278"/>
      <c r="D669" s="261" t="s">
        <v>86</v>
      </c>
      <c r="E669" s="267">
        <v>63</v>
      </c>
      <c r="F669" s="267">
        <v>19256</v>
      </c>
      <c r="G669" s="267">
        <v>1213158</v>
      </c>
      <c r="H669" s="267">
        <v>1242</v>
      </c>
      <c r="I669" s="267">
        <v>78234</v>
      </c>
      <c r="J669" s="267">
        <v>1134924</v>
      </c>
    </row>
    <row r="670" spans="1:10" ht="14.1" customHeight="1" x14ac:dyDescent="0.2">
      <c r="A670" s="278"/>
      <c r="B670" s="278"/>
      <c r="C670" s="278"/>
      <c r="D670" s="261" t="s">
        <v>87</v>
      </c>
      <c r="E670" s="267">
        <v>71</v>
      </c>
      <c r="F670" s="267">
        <v>12559</v>
      </c>
      <c r="G670" s="267">
        <v>891672</v>
      </c>
      <c r="H670" s="267">
        <v>1242</v>
      </c>
      <c r="I670" s="267">
        <v>88169</v>
      </c>
      <c r="J670" s="267">
        <v>803504</v>
      </c>
    </row>
    <row r="671" spans="1:10" ht="14.1" customHeight="1" x14ac:dyDescent="0.2">
      <c r="A671" s="278"/>
      <c r="B671" s="278"/>
      <c r="C671" s="278"/>
      <c r="D671" s="261" t="s">
        <v>84</v>
      </c>
      <c r="E671" s="267">
        <v>105</v>
      </c>
      <c r="F671" s="267">
        <v>8881</v>
      </c>
      <c r="G671" s="267">
        <v>932551</v>
      </c>
      <c r="H671" s="267">
        <v>1242</v>
      </c>
      <c r="I671" s="267">
        <v>130390</v>
      </c>
      <c r="J671" s="267">
        <v>802161</v>
      </c>
    </row>
    <row r="672" spans="1:10" ht="14.1" customHeight="1" x14ac:dyDescent="0.2">
      <c r="A672" s="278"/>
      <c r="B672" s="278"/>
      <c r="C672" s="278"/>
      <c r="D672" s="261" t="s">
        <v>88</v>
      </c>
      <c r="E672" s="267">
        <v>12</v>
      </c>
      <c r="F672" s="267">
        <v>2601</v>
      </c>
      <c r="G672" s="267">
        <v>31214</v>
      </c>
      <c r="H672" s="267">
        <v>1242</v>
      </c>
      <c r="I672" s="267">
        <v>14902</v>
      </c>
      <c r="J672" s="267">
        <v>16312</v>
      </c>
    </row>
    <row r="673" spans="1:10" ht="14.1" customHeight="1" x14ac:dyDescent="0.2">
      <c r="A673" s="278"/>
      <c r="B673" s="278"/>
      <c r="C673" s="278"/>
      <c r="D673" s="261" t="s">
        <v>78</v>
      </c>
      <c r="E673" s="267">
        <v>2</v>
      </c>
      <c r="F673" s="267">
        <v>37175</v>
      </c>
      <c r="G673" s="267">
        <v>74351</v>
      </c>
      <c r="H673" s="267">
        <v>1242</v>
      </c>
      <c r="I673" s="267">
        <v>2484</v>
      </c>
      <c r="J673" s="267">
        <v>71867</v>
      </c>
    </row>
    <row r="674" spans="1:10" ht="14.1" customHeight="1" x14ac:dyDescent="0.2">
      <c r="A674" s="278"/>
      <c r="B674" s="278"/>
      <c r="C674" s="278"/>
      <c r="D674" s="261" t="s">
        <v>153</v>
      </c>
      <c r="E674" s="267">
        <v>23</v>
      </c>
      <c r="F674" s="267">
        <v>5545</v>
      </c>
      <c r="G674" s="267">
        <v>127538</v>
      </c>
      <c r="H674" s="267">
        <v>1242</v>
      </c>
      <c r="I674" s="267">
        <v>28562</v>
      </c>
      <c r="J674" s="267">
        <v>98976</v>
      </c>
    </row>
    <row r="675" spans="1:10" ht="14.1" customHeight="1" x14ac:dyDescent="0.2">
      <c r="A675" s="278"/>
      <c r="B675" s="278"/>
      <c r="C675" s="278"/>
      <c r="D675" s="261" t="s">
        <v>154</v>
      </c>
      <c r="E675" s="267">
        <v>7</v>
      </c>
      <c r="F675" s="267">
        <v>6930</v>
      </c>
      <c r="G675" s="267">
        <v>48508</v>
      </c>
      <c r="H675" s="267">
        <v>1242</v>
      </c>
      <c r="I675" s="267">
        <v>8693</v>
      </c>
      <c r="J675" s="267">
        <v>39815</v>
      </c>
    </row>
    <row r="676" spans="1:10" ht="42.95" customHeight="1" x14ac:dyDescent="0.2">
      <c r="A676" s="278"/>
      <c r="B676" s="278"/>
      <c r="C676" s="277" t="s">
        <v>245</v>
      </c>
      <c r="D676" s="261" t="s">
        <v>83</v>
      </c>
      <c r="E676" s="267">
        <v>1651</v>
      </c>
      <c r="F676" s="267">
        <v>2773</v>
      </c>
      <c r="G676" s="267">
        <v>4577628</v>
      </c>
      <c r="H676" s="267">
        <v>790</v>
      </c>
      <c r="I676" s="267">
        <v>1304258</v>
      </c>
      <c r="J676" s="267">
        <v>3273370</v>
      </c>
    </row>
    <row r="677" spans="1:10" ht="14.1" customHeight="1" x14ac:dyDescent="0.2">
      <c r="A677" s="278"/>
      <c r="B677" s="278"/>
      <c r="C677" s="278"/>
      <c r="D677" s="261" t="s">
        <v>102</v>
      </c>
      <c r="E677" s="267">
        <v>12</v>
      </c>
      <c r="F677" s="267">
        <v>97664</v>
      </c>
      <c r="G677" s="267">
        <v>1171965</v>
      </c>
      <c r="H677" s="267">
        <v>790</v>
      </c>
      <c r="I677" s="267">
        <v>9480</v>
      </c>
      <c r="J677" s="267">
        <v>1162486</v>
      </c>
    </row>
    <row r="678" spans="1:10" ht="14.1" customHeight="1" x14ac:dyDescent="0.2">
      <c r="A678" s="278"/>
      <c r="B678" s="278"/>
      <c r="C678" s="278"/>
      <c r="D678" s="261" t="s">
        <v>118</v>
      </c>
      <c r="E678" s="267">
        <v>8</v>
      </c>
      <c r="F678" s="267">
        <v>51490</v>
      </c>
      <c r="G678" s="267">
        <v>411923</v>
      </c>
      <c r="H678" s="267">
        <v>790</v>
      </c>
      <c r="I678" s="267">
        <v>6320</v>
      </c>
      <c r="J678" s="267">
        <v>405603</v>
      </c>
    </row>
    <row r="679" spans="1:10" ht="14.1" customHeight="1" x14ac:dyDescent="0.2">
      <c r="A679" s="278"/>
      <c r="B679" s="278"/>
      <c r="C679" s="278"/>
      <c r="D679" s="261" t="s">
        <v>92</v>
      </c>
      <c r="E679" s="267">
        <v>2199</v>
      </c>
      <c r="F679" s="267">
        <v>31120</v>
      </c>
      <c r="G679" s="267">
        <v>68433812</v>
      </c>
      <c r="H679" s="267">
        <v>790</v>
      </c>
      <c r="I679" s="267">
        <v>1737168</v>
      </c>
      <c r="J679" s="267">
        <v>66696645</v>
      </c>
    </row>
    <row r="680" spans="1:10" ht="14.1" customHeight="1" x14ac:dyDescent="0.2">
      <c r="A680" s="278"/>
      <c r="B680" s="278"/>
      <c r="C680" s="278"/>
      <c r="D680" s="261" t="s">
        <v>86</v>
      </c>
      <c r="E680" s="267">
        <v>7253</v>
      </c>
      <c r="F680" s="267">
        <v>18898</v>
      </c>
      <c r="G680" s="267">
        <v>137066328</v>
      </c>
      <c r="H680" s="267">
        <v>790</v>
      </c>
      <c r="I680" s="267">
        <v>5729730</v>
      </c>
      <c r="J680" s="267">
        <v>131336597</v>
      </c>
    </row>
    <row r="681" spans="1:10" ht="14.1" customHeight="1" x14ac:dyDescent="0.2">
      <c r="A681" s="278"/>
      <c r="B681" s="278"/>
      <c r="C681" s="278"/>
      <c r="D681" s="261" t="s">
        <v>87</v>
      </c>
      <c r="E681" s="267">
        <v>1205</v>
      </c>
      <c r="F681" s="267">
        <v>12107</v>
      </c>
      <c r="G681" s="267">
        <v>14588858</v>
      </c>
      <c r="H681" s="267">
        <v>790</v>
      </c>
      <c r="I681" s="267">
        <v>951927</v>
      </c>
      <c r="J681" s="267">
        <v>13636932</v>
      </c>
    </row>
    <row r="682" spans="1:10" ht="14.1" customHeight="1" x14ac:dyDescent="0.2">
      <c r="A682" s="278"/>
      <c r="B682" s="278"/>
      <c r="C682" s="278"/>
      <c r="D682" s="261" t="s">
        <v>84</v>
      </c>
      <c r="E682" s="267">
        <v>1337</v>
      </c>
      <c r="F682" s="267">
        <v>8486</v>
      </c>
      <c r="G682" s="267">
        <v>11345179</v>
      </c>
      <c r="H682" s="267">
        <v>790</v>
      </c>
      <c r="I682" s="267">
        <v>1056204</v>
      </c>
      <c r="J682" s="267">
        <v>10288975</v>
      </c>
    </row>
    <row r="683" spans="1:10" ht="14.1" customHeight="1" x14ac:dyDescent="0.2">
      <c r="A683" s="278"/>
      <c r="B683" s="278"/>
      <c r="C683" s="278"/>
      <c r="D683" s="261" t="s">
        <v>85</v>
      </c>
      <c r="E683" s="267">
        <v>99</v>
      </c>
      <c r="F683" s="267">
        <v>5771</v>
      </c>
      <c r="G683" s="267">
        <v>571301</v>
      </c>
      <c r="H683" s="267">
        <v>790</v>
      </c>
      <c r="I683" s="267">
        <v>78208</v>
      </c>
      <c r="J683" s="267">
        <v>493092</v>
      </c>
    </row>
    <row r="684" spans="1:10" ht="14.1" customHeight="1" x14ac:dyDescent="0.2">
      <c r="A684" s="278"/>
      <c r="B684" s="278"/>
      <c r="C684" s="278"/>
      <c r="D684" s="261" t="s">
        <v>96</v>
      </c>
      <c r="E684" s="267">
        <v>5078</v>
      </c>
      <c r="F684" s="267">
        <v>3507</v>
      </c>
      <c r="G684" s="267">
        <v>17807245</v>
      </c>
      <c r="H684" s="267">
        <v>790</v>
      </c>
      <c r="I684" s="267">
        <v>4011522</v>
      </c>
      <c r="J684" s="267">
        <v>13795723</v>
      </c>
    </row>
    <row r="685" spans="1:10" ht="14.1" customHeight="1" x14ac:dyDescent="0.2">
      <c r="A685" s="278"/>
      <c r="B685" s="278"/>
      <c r="C685" s="278"/>
      <c r="D685" s="261" t="s">
        <v>88</v>
      </c>
      <c r="E685" s="267">
        <v>132</v>
      </c>
      <c r="F685" s="267">
        <v>2149</v>
      </c>
      <c r="G685" s="267">
        <v>283711</v>
      </c>
      <c r="H685" s="267">
        <v>790</v>
      </c>
      <c r="I685" s="267">
        <v>104277</v>
      </c>
      <c r="J685" s="267">
        <v>179434</v>
      </c>
    </row>
    <row r="686" spans="1:10" ht="14.1" customHeight="1" x14ac:dyDescent="0.2">
      <c r="A686" s="278"/>
      <c r="B686" s="278"/>
      <c r="C686" s="278"/>
      <c r="D686" s="261" t="s">
        <v>106</v>
      </c>
      <c r="E686" s="267">
        <v>1</v>
      </c>
      <c r="F686" s="267">
        <v>1401</v>
      </c>
      <c r="G686" s="267">
        <v>1401</v>
      </c>
      <c r="H686" s="267">
        <v>790</v>
      </c>
      <c r="I686" s="267">
        <v>790</v>
      </c>
      <c r="J686" s="267">
        <v>611</v>
      </c>
    </row>
    <row r="687" spans="1:10" ht="14.1" customHeight="1" x14ac:dyDescent="0.2">
      <c r="A687" s="278"/>
      <c r="B687" s="278"/>
      <c r="C687" s="278"/>
      <c r="D687" s="261" t="s">
        <v>78</v>
      </c>
      <c r="E687" s="267">
        <v>4489</v>
      </c>
      <c r="F687" s="267">
        <v>37175</v>
      </c>
      <c r="G687" s="267">
        <v>166880089</v>
      </c>
      <c r="H687" s="267">
        <v>790</v>
      </c>
      <c r="I687" s="267">
        <v>3546224</v>
      </c>
      <c r="J687" s="267">
        <v>163333865</v>
      </c>
    </row>
    <row r="688" spans="1:10" ht="14.1" customHeight="1" x14ac:dyDescent="0.2">
      <c r="A688" s="278"/>
      <c r="B688" s="278"/>
      <c r="C688" s="278"/>
      <c r="D688" s="261" t="s">
        <v>152</v>
      </c>
      <c r="E688" s="267">
        <v>79</v>
      </c>
      <c r="F688" s="267">
        <v>28002</v>
      </c>
      <c r="G688" s="267">
        <v>2212152</v>
      </c>
      <c r="H688" s="267">
        <v>790</v>
      </c>
      <c r="I688" s="267">
        <v>62408</v>
      </c>
      <c r="J688" s="267">
        <v>2149744</v>
      </c>
    </row>
    <row r="689" spans="1:10" ht="14.1" customHeight="1" x14ac:dyDescent="0.2">
      <c r="A689" s="278"/>
      <c r="B689" s="278"/>
      <c r="C689" s="278"/>
      <c r="D689" s="261" t="s">
        <v>153</v>
      </c>
      <c r="E689" s="267">
        <v>1672</v>
      </c>
      <c r="F689" s="267">
        <v>5152</v>
      </c>
      <c r="G689" s="267">
        <v>8614505</v>
      </c>
      <c r="H689" s="267">
        <v>790</v>
      </c>
      <c r="I689" s="267">
        <v>1320848</v>
      </c>
      <c r="J689" s="267">
        <v>7293657</v>
      </c>
    </row>
    <row r="690" spans="1:10" ht="14.1" customHeight="1" x14ac:dyDescent="0.2">
      <c r="A690" s="278"/>
      <c r="B690" s="278"/>
      <c r="C690" s="278"/>
      <c r="D690" s="261" t="s">
        <v>154</v>
      </c>
      <c r="E690" s="267">
        <v>1393</v>
      </c>
      <c r="F690" s="267">
        <v>6542</v>
      </c>
      <c r="G690" s="267">
        <v>9113548</v>
      </c>
      <c r="H690" s="267">
        <v>790</v>
      </c>
      <c r="I690" s="267">
        <v>1100443</v>
      </c>
      <c r="J690" s="267">
        <v>8013105</v>
      </c>
    </row>
    <row r="691" spans="1:10" ht="29.1" customHeight="1" x14ac:dyDescent="0.2">
      <c r="A691" s="278"/>
      <c r="B691" s="277" t="s">
        <v>247</v>
      </c>
      <c r="C691" s="280" t="s">
        <v>75</v>
      </c>
      <c r="D691" s="261" t="s">
        <v>160</v>
      </c>
      <c r="E691" s="267">
        <v>1</v>
      </c>
      <c r="F691" s="267">
        <v>96874</v>
      </c>
      <c r="G691" s="267">
        <v>96874</v>
      </c>
      <c r="H691" s="267">
        <v>1188</v>
      </c>
      <c r="I691" s="267">
        <v>1188</v>
      </c>
      <c r="J691" s="267">
        <v>95686</v>
      </c>
    </row>
    <row r="692" spans="1:10" ht="14.1" customHeight="1" x14ac:dyDescent="0.2">
      <c r="A692" s="278"/>
      <c r="B692" s="278"/>
      <c r="C692" s="278"/>
      <c r="D692" s="261" t="s">
        <v>99</v>
      </c>
      <c r="E692" s="267">
        <v>2</v>
      </c>
      <c r="F692" s="267">
        <v>30330</v>
      </c>
      <c r="G692" s="267">
        <v>60661</v>
      </c>
      <c r="H692" s="267">
        <v>1188</v>
      </c>
      <c r="I692" s="267">
        <v>2376</v>
      </c>
      <c r="J692" s="267">
        <v>58285</v>
      </c>
    </row>
    <row r="693" spans="1:10" ht="14.1" customHeight="1" x14ac:dyDescent="0.2">
      <c r="A693" s="278"/>
      <c r="B693" s="278"/>
      <c r="C693" s="278"/>
      <c r="D693" s="261" t="s">
        <v>91</v>
      </c>
      <c r="E693" s="267">
        <v>7</v>
      </c>
      <c r="F693" s="267">
        <v>18108</v>
      </c>
      <c r="G693" s="267">
        <v>126755</v>
      </c>
      <c r="H693" s="267">
        <v>1188</v>
      </c>
      <c r="I693" s="267">
        <v>8315</v>
      </c>
      <c r="J693" s="267">
        <v>118440</v>
      </c>
    </row>
    <row r="694" spans="1:10" ht="14.1" customHeight="1" x14ac:dyDescent="0.2">
      <c r="A694" s="278"/>
      <c r="B694" s="278"/>
      <c r="C694" s="278"/>
      <c r="D694" s="261" t="s">
        <v>97</v>
      </c>
      <c r="E694" s="267">
        <v>11</v>
      </c>
      <c r="F694" s="267">
        <v>11317</v>
      </c>
      <c r="G694" s="267">
        <v>124487</v>
      </c>
      <c r="H694" s="267">
        <v>1188</v>
      </c>
      <c r="I694" s="267">
        <v>13066</v>
      </c>
      <c r="J694" s="267">
        <v>111420</v>
      </c>
    </row>
    <row r="695" spans="1:10" ht="14.1" customHeight="1" x14ac:dyDescent="0.2">
      <c r="A695" s="278"/>
      <c r="B695" s="278"/>
      <c r="C695" s="278"/>
      <c r="D695" s="261" t="s">
        <v>90</v>
      </c>
      <c r="E695" s="267">
        <v>215</v>
      </c>
      <c r="F695" s="267">
        <v>7696</v>
      </c>
      <c r="G695" s="267">
        <v>1654547</v>
      </c>
      <c r="H695" s="267">
        <v>1188</v>
      </c>
      <c r="I695" s="267">
        <v>255390</v>
      </c>
      <c r="J695" s="267">
        <v>1399157</v>
      </c>
    </row>
    <row r="696" spans="1:10" ht="14.1" customHeight="1" x14ac:dyDescent="0.2">
      <c r="A696" s="278"/>
      <c r="B696" s="278"/>
      <c r="C696" s="278"/>
      <c r="D696" s="261" t="s">
        <v>100</v>
      </c>
      <c r="E696" s="267">
        <v>16</v>
      </c>
      <c r="F696" s="267">
        <v>4981</v>
      </c>
      <c r="G696" s="267">
        <v>79692</v>
      </c>
      <c r="H696" s="267">
        <v>1188</v>
      </c>
      <c r="I696" s="267">
        <v>19006</v>
      </c>
      <c r="J696" s="267">
        <v>60686</v>
      </c>
    </row>
    <row r="697" spans="1:10" ht="14.1" customHeight="1" x14ac:dyDescent="0.2">
      <c r="A697" s="278"/>
      <c r="B697" s="278"/>
      <c r="C697" s="278"/>
      <c r="D697" s="261" t="s">
        <v>98</v>
      </c>
      <c r="E697" s="267">
        <v>9</v>
      </c>
      <c r="F697" s="267">
        <v>2717</v>
      </c>
      <c r="G697" s="267">
        <v>24451</v>
      </c>
      <c r="H697" s="267">
        <v>1188</v>
      </c>
      <c r="I697" s="267">
        <v>10691</v>
      </c>
      <c r="J697" s="267">
        <v>13760</v>
      </c>
    </row>
    <row r="698" spans="1:10" ht="14.1" customHeight="1" x14ac:dyDescent="0.2">
      <c r="A698" s="278"/>
      <c r="B698" s="278"/>
      <c r="C698" s="278"/>
      <c r="D698" s="261" t="s">
        <v>103</v>
      </c>
      <c r="E698" s="267">
        <v>2</v>
      </c>
      <c r="F698" s="267">
        <v>1359</v>
      </c>
      <c r="G698" s="267">
        <v>2719</v>
      </c>
      <c r="H698" s="267">
        <v>1188</v>
      </c>
      <c r="I698" s="267">
        <v>2376</v>
      </c>
      <c r="J698" s="267">
        <v>343</v>
      </c>
    </row>
    <row r="699" spans="1:10" ht="42.95" customHeight="1" x14ac:dyDescent="0.2">
      <c r="A699" s="278"/>
      <c r="B699" s="278"/>
      <c r="C699" s="277" t="s">
        <v>243</v>
      </c>
      <c r="D699" s="261" t="s">
        <v>86</v>
      </c>
      <c r="E699" s="267">
        <v>6</v>
      </c>
      <c r="F699" s="267">
        <v>19577</v>
      </c>
      <c r="G699" s="267">
        <v>117462</v>
      </c>
      <c r="H699" s="267">
        <v>2657</v>
      </c>
      <c r="I699" s="267">
        <v>15942</v>
      </c>
      <c r="J699" s="267">
        <v>101520</v>
      </c>
    </row>
    <row r="700" spans="1:10" ht="14.1" customHeight="1" x14ac:dyDescent="0.2">
      <c r="A700" s="278"/>
      <c r="B700" s="278"/>
      <c r="C700" s="278"/>
      <c r="D700" s="261" t="s">
        <v>87</v>
      </c>
      <c r="E700" s="267">
        <v>4</v>
      </c>
      <c r="F700" s="267">
        <v>12786</v>
      </c>
      <c r="G700" s="267">
        <v>51145</v>
      </c>
      <c r="H700" s="267">
        <v>2657</v>
      </c>
      <c r="I700" s="267">
        <v>10628</v>
      </c>
      <c r="J700" s="267">
        <v>40516</v>
      </c>
    </row>
    <row r="701" spans="1:10" ht="14.1" customHeight="1" x14ac:dyDescent="0.2">
      <c r="A701" s="278"/>
      <c r="B701" s="278"/>
      <c r="C701" s="278"/>
      <c r="D701" s="261" t="s">
        <v>84</v>
      </c>
      <c r="E701" s="267">
        <v>218</v>
      </c>
      <c r="F701" s="267">
        <v>9165</v>
      </c>
      <c r="G701" s="267">
        <v>1997913</v>
      </c>
      <c r="H701" s="267">
        <v>2657</v>
      </c>
      <c r="I701" s="267">
        <v>579233</v>
      </c>
      <c r="J701" s="267">
        <v>1418680</v>
      </c>
    </row>
    <row r="702" spans="1:10" ht="42.95" customHeight="1" x14ac:dyDescent="0.2">
      <c r="A702" s="278"/>
      <c r="B702" s="278"/>
      <c r="C702" s="277" t="s">
        <v>244</v>
      </c>
      <c r="D702" s="261" t="s">
        <v>86</v>
      </c>
      <c r="E702" s="267">
        <v>16</v>
      </c>
      <c r="F702" s="267">
        <v>19209</v>
      </c>
      <c r="G702" s="267">
        <v>307336</v>
      </c>
      <c r="H702" s="267">
        <v>2430</v>
      </c>
      <c r="I702" s="267">
        <v>38875</v>
      </c>
      <c r="J702" s="267">
        <v>268461</v>
      </c>
    </row>
    <row r="703" spans="1:10" ht="14.1" customHeight="1" x14ac:dyDescent="0.2">
      <c r="A703" s="278"/>
      <c r="B703" s="278"/>
      <c r="C703" s="278"/>
      <c r="D703" s="261" t="s">
        <v>87</v>
      </c>
      <c r="E703" s="267">
        <v>297</v>
      </c>
      <c r="F703" s="267">
        <v>12510</v>
      </c>
      <c r="G703" s="267">
        <v>3715495</v>
      </c>
      <c r="H703" s="267">
        <v>2430</v>
      </c>
      <c r="I703" s="267">
        <v>721613</v>
      </c>
      <c r="J703" s="267">
        <v>2993882</v>
      </c>
    </row>
    <row r="704" spans="1:10" ht="14.1" customHeight="1" x14ac:dyDescent="0.2">
      <c r="A704" s="278"/>
      <c r="B704" s="278"/>
      <c r="C704" s="278"/>
      <c r="D704" s="261" t="s">
        <v>84</v>
      </c>
      <c r="E704" s="267">
        <v>15</v>
      </c>
      <c r="F704" s="267">
        <v>8907</v>
      </c>
      <c r="G704" s="267">
        <v>133609</v>
      </c>
      <c r="H704" s="267">
        <v>2430</v>
      </c>
      <c r="I704" s="267">
        <v>36445</v>
      </c>
      <c r="J704" s="267">
        <v>97164</v>
      </c>
    </row>
    <row r="705" spans="1:10" ht="14.1" customHeight="1" x14ac:dyDescent="0.2">
      <c r="A705" s="278"/>
      <c r="B705" s="278"/>
      <c r="C705" s="278"/>
      <c r="D705" s="261" t="s">
        <v>85</v>
      </c>
      <c r="E705" s="267">
        <v>1</v>
      </c>
      <c r="F705" s="267">
        <v>6223</v>
      </c>
      <c r="G705" s="267">
        <v>6223</v>
      </c>
      <c r="H705" s="267">
        <v>2430</v>
      </c>
      <c r="I705" s="267">
        <v>2430</v>
      </c>
      <c r="J705" s="267">
        <v>3793</v>
      </c>
    </row>
    <row r="706" spans="1:10" ht="42.95" customHeight="1" x14ac:dyDescent="0.2">
      <c r="A706" s="278"/>
      <c r="B706" s="278"/>
      <c r="C706" s="277" t="s">
        <v>245</v>
      </c>
      <c r="D706" s="261" t="s">
        <v>102</v>
      </c>
      <c r="E706" s="267">
        <v>44</v>
      </c>
      <c r="F706" s="267">
        <v>97664</v>
      </c>
      <c r="G706" s="267">
        <v>4297206</v>
      </c>
      <c r="H706" s="267">
        <v>1978</v>
      </c>
      <c r="I706" s="267">
        <v>87025</v>
      </c>
      <c r="J706" s="267">
        <v>4210181</v>
      </c>
    </row>
    <row r="707" spans="1:10" ht="14.1" customHeight="1" x14ac:dyDescent="0.2">
      <c r="A707" s="278"/>
      <c r="B707" s="278"/>
      <c r="C707" s="278"/>
      <c r="D707" s="261" t="s">
        <v>92</v>
      </c>
      <c r="E707" s="267">
        <v>775</v>
      </c>
      <c r="F707" s="267">
        <v>31120</v>
      </c>
      <c r="G707" s="267">
        <v>24118329</v>
      </c>
      <c r="H707" s="267">
        <v>1978</v>
      </c>
      <c r="I707" s="267">
        <v>1532828</v>
      </c>
      <c r="J707" s="267">
        <v>22585501</v>
      </c>
    </row>
    <row r="708" spans="1:10" ht="14.1" customHeight="1" x14ac:dyDescent="0.2">
      <c r="A708" s="278"/>
      <c r="B708" s="278"/>
      <c r="C708" s="278"/>
      <c r="D708" s="261" t="s">
        <v>86</v>
      </c>
      <c r="E708" s="267">
        <v>3320</v>
      </c>
      <c r="F708" s="267">
        <v>18898</v>
      </c>
      <c r="G708" s="267">
        <v>62740963</v>
      </c>
      <c r="H708" s="267">
        <v>1978</v>
      </c>
      <c r="I708" s="267">
        <v>6566435</v>
      </c>
      <c r="J708" s="267">
        <v>56174528</v>
      </c>
    </row>
    <row r="709" spans="1:10" ht="14.1" customHeight="1" x14ac:dyDescent="0.2">
      <c r="A709" s="278"/>
      <c r="B709" s="278"/>
      <c r="C709" s="278"/>
      <c r="D709" s="261" t="s">
        <v>87</v>
      </c>
      <c r="E709" s="267">
        <v>5470</v>
      </c>
      <c r="F709" s="267">
        <v>12107</v>
      </c>
      <c r="G709" s="267">
        <v>66224942</v>
      </c>
      <c r="H709" s="267">
        <v>1978</v>
      </c>
      <c r="I709" s="267">
        <v>10818796</v>
      </c>
      <c r="J709" s="267">
        <v>55406146</v>
      </c>
    </row>
    <row r="710" spans="1:10" ht="14.1" customHeight="1" x14ac:dyDescent="0.2">
      <c r="A710" s="278"/>
      <c r="B710" s="278"/>
      <c r="C710" s="278"/>
      <c r="D710" s="261" t="s">
        <v>84</v>
      </c>
      <c r="E710" s="267">
        <v>11323</v>
      </c>
      <c r="F710" s="267">
        <v>8486</v>
      </c>
      <c r="G710" s="267">
        <v>96081873</v>
      </c>
      <c r="H710" s="267">
        <v>1978</v>
      </c>
      <c r="I710" s="267">
        <v>22395105</v>
      </c>
      <c r="J710" s="267">
        <v>73686768</v>
      </c>
    </row>
    <row r="711" spans="1:10" ht="14.1" customHeight="1" x14ac:dyDescent="0.2">
      <c r="A711" s="278"/>
      <c r="B711" s="278"/>
      <c r="C711" s="278"/>
      <c r="D711" s="261" t="s">
        <v>85</v>
      </c>
      <c r="E711" s="267">
        <v>577</v>
      </c>
      <c r="F711" s="267">
        <v>5771</v>
      </c>
      <c r="G711" s="267">
        <v>3329701</v>
      </c>
      <c r="H711" s="267">
        <v>1978</v>
      </c>
      <c r="I711" s="267">
        <v>1141215</v>
      </c>
      <c r="J711" s="267">
        <v>2188487</v>
      </c>
    </row>
    <row r="712" spans="1:10" ht="14.1" customHeight="1" x14ac:dyDescent="0.2">
      <c r="A712" s="278"/>
      <c r="B712" s="278"/>
      <c r="C712" s="278"/>
      <c r="D712" s="261" t="s">
        <v>96</v>
      </c>
      <c r="E712" s="267">
        <v>611</v>
      </c>
      <c r="F712" s="267">
        <v>3507</v>
      </c>
      <c r="G712" s="267">
        <v>2142620</v>
      </c>
      <c r="H712" s="267">
        <v>1978</v>
      </c>
      <c r="I712" s="267">
        <v>1208461</v>
      </c>
      <c r="J712" s="267">
        <v>934159</v>
      </c>
    </row>
    <row r="713" spans="1:10" ht="14.1" customHeight="1" x14ac:dyDescent="0.2">
      <c r="A713" s="278"/>
      <c r="B713" s="278"/>
      <c r="C713" s="278"/>
      <c r="D713" s="261" t="s">
        <v>88</v>
      </c>
      <c r="E713" s="267">
        <v>764</v>
      </c>
      <c r="F713" s="267">
        <v>2149</v>
      </c>
      <c r="G713" s="267">
        <v>1642085</v>
      </c>
      <c r="H713" s="267">
        <v>1978</v>
      </c>
      <c r="I713" s="267">
        <v>1511071</v>
      </c>
      <c r="J713" s="267">
        <v>131013</v>
      </c>
    </row>
    <row r="714" spans="1:10" ht="14.1" customHeight="1" x14ac:dyDescent="0.2">
      <c r="A714" s="278" t="s">
        <v>104</v>
      </c>
      <c r="B714" s="278" t="s">
        <v>60</v>
      </c>
      <c r="C714" s="278"/>
      <c r="D714" s="278"/>
      <c r="E714" s="267">
        <v>4433</v>
      </c>
      <c r="F714" s="267"/>
      <c r="G714" s="267">
        <v>83023380</v>
      </c>
      <c r="H714" s="267"/>
      <c r="I714" s="267">
        <v>3837818</v>
      </c>
      <c r="J714" s="267">
        <v>79185562</v>
      </c>
    </row>
    <row r="715" spans="1:10" ht="14.1" customHeight="1" x14ac:dyDescent="0.2">
      <c r="A715" s="278"/>
      <c r="B715" s="261" t="s">
        <v>71</v>
      </c>
      <c r="C715" s="261" t="s">
        <v>72</v>
      </c>
      <c r="D715" s="261" t="s">
        <v>73</v>
      </c>
      <c r="E715" s="284">
        <v>2</v>
      </c>
      <c r="F715" s="284">
        <v>11382</v>
      </c>
      <c r="G715" s="284">
        <v>22765</v>
      </c>
      <c r="H715" s="284">
        <v>0</v>
      </c>
      <c r="I715" s="284">
        <v>0</v>
      </c>
      <c r="J715" s="284">
        <v>22765</v>
      </c>
    </row>
    <row r="716" spans="1:10" ht="14.1" customHeight="1" x14ac:dyDescent="0.2">
      <c r="A716" s="278"/>
      <c r="B716" s="279" t="s">
        <v>74</v>
      </c>
      <c r="C716" s="262" t="s">
        <v>75</v>
      </c>
      <c r="D716" s="261" t="s">
        <v>77</v>
      </c>
      <c r="E716" s="285"/>
      <c r="F716" s="285"/>
      <c r="G716" s="285"/>
      <c r="H716" s="285"/>
      <c r="I716" s="285"/>
      <c r="J716" s="285"/>
    </row>
    <row r="717" spans="1:10" ht="42.95" customHeight="1" x14ac:dyDescent="0.2">
      <c r="A717" s="278"/>
      <c r="B717" s="278"/>
      <c r="C717" s="263" t="s">
        <v>245</v>
      </c>
      <c r="D717" s="261" t="s">
        <v>79</v>
      </c>
      <c r="E717" s="267">
        <v>195</v>
      </c>
      <c r="F717" s="267">
        <v>12172</v>
      </c>
      <c r="G717" s="267">
        <v>2373627</v>
      </c>
      <c r="H717" s="267">
        <v>1978</v>
      </c>
      <c r="I717" s="267">
        <v>385679</v>
      </c>
      <c r="J717" s="267">
        <v>1987948</v>
      </c>
    </row>
    <row r="718" spans="1:10" ht="42.95" customHeight="1" x14ac:dyDescent="0.2">
      <c r="A718" s="278"/>
      <c r="B718" s="277" t="s">
        <v>246</v>
      </c>
      <c r="C718" s="280" t="s">
        <v>75</v>
      </c>
      <c r="D718" s="261" t="s">
        <v>99</v>
      </c>
      <c r="E718" s="267">
        <v>8</v>
      </c>
      <c r="F718" s="267">
        <v>30330</v>
      </c>
      <c r="G718" s="267">
        <v>242644</v>
      </c>
      <c r="H718" s="267">
        <v>0</v>
      </c>
      <c r="I718" s="267">
        <v>0</v>
      </c>
      <c r="J718" s="267">
        <v>242644</v>
      </c>
    </row>
    <row r="719" spans="1:10" ht="14.1" customHeight="1" x14ac:dyDescent="0.2">
      <c r="A719" s="278"/>
      <c r="B719" s="278"/>
      <c r="C719" s="278"/>
      <c r="D719" s="261" t="s">
        <v>91</v>
      </c>
      <c r="E719" s="267">
        <v>12</v>
      </c>
      <c r="F719" s="267">
        <v>18108</v>
      </c>
      <c r="G719" s="267">
        <v>217295</v>
      </c>
      <c r="H719" s="267">
        <v>0</v>
      </c>
      <c r="I719" s="267">
        <v>0</v>
      </c>
      <c r="J719" s="267">
        <v>217295</v>
      </c>
    </row>
    <row r="720" spans="1:10" ht="14.1" customHeight="1" x14ac:dyDescent="0.2">
      <c r="A720" s="278"/>
      <c r="B720" s="278"/>
      <c r="C720" s="278"/>
      <c r="D720" s="261" t="s">
        <v>90</v>
      </c>
      <c r="E720" s="267">
        <v>7</v>
      </c>
      <c r="F720" s="267">
        <v>7696</v>
      </c>
      <c r="G720" s="267">
        <v>53869</v>
      </c>
      <c r="H720" s="267">
        <v>0</v>
      </c>
      <c r="I720" s="267">
        <v>0</v>
      </c>
      <c r="J720" s="267">
        <v>53869</v>
      </c>
    </row>
    <row r="721" spans="1:10" ht="14.1" customHeight="1" x14ac:dyDescent="0.2">
      <c r="A721" s="278"/>
      <c r="B721" s="278"/>
      <c r="C721" s="278"/>
      <c r="D721" s="261" t="s">
        <v>76</v>
      </c>
      <c r="E721" s="267">
        <v>94</v>
      </c>
      <c r="F721" s="267">
        <v>36385</v>
      </c>
      <c r="G721" s="267">
        <v>3420224</v>
      </c>
      <c r="H721" s="267">
        <v>0</v>
      </c>
      <c r="I721" s="267">
        <v>0</v>
      </c>
      <c r="J721" s="267">
        <v>3420224</v>
      </c>
    </row>
    <row r="722" spans="1:10" ht="14.1" customHeight="1" x14ac:dyDescent="0.2">
      <c r="A722" s="278"/>
      <c r="B722" s="278"/>
      <c r="C722" s="278"/>
      <c r="D722" s="261" t="s">
        <v>156</v>
      </c>
      <c r="E722" s="267">
        <v>3</v>
      </c>
      <c r="F722" s="267">
        <v>27212</v>
      </c>
      <c r="G722" s="267">
        <v>81636</v>
      </c>
      <c r="H722" s="267">
        <v>0</v>
      </c>
      <c r="I722" s="267">
        <v>0</v>
      </c>
      <c r="J722" s="267">
        <v>81636</v>
      </c>
    </row>
    <row r="723" spans="1:10" ht="14.1" customHeight="1" x14ac:dyDescent="0.2">
      <c r="A723" s="278"/>
      <c r="B723" s="278"/>
      <c r="C723" s="278"/>
      <c r="D723" s="261" t="s">
        <v>155</v>
      </c>
      <c r="E723" s="267">
        <v>8</v>
      </c>
      <c r="F723" s="267">
        <v>4362</v>
      </c>
      <c r="G723" s="267">
        <v>34898</v>
      </c>
      <c r="H723" s="267">
        <v>0</v>
      </c>
      <c r="I723" s="267">
        <v>0</v>
      </c>
      <c r="J723" s="267">
        <v>34898</v>
      </c>
    </row>
    <row r="724" spans="1:10" ht="14.1" customHeight="1" x14ac:dyDescent="0.2">
      <c r="A724" s="278"/>
      <c r="B724" s="278"/>
      <c r="C724" s="278"/>
      <c r="D724" s="261" t="s">
        <v>151</v>
      </c>
      <c r="E724" s="267">
        <v>67</v>
      </c>
      <c r="F724" s="267">
        <v>5752</v>
      </c>
      <c r="G724" s="267">
        <v>385411</v>
      </c>
      <c r="H724" s="267">
        <v>0</v>
      </c>
      <c r="I724" s="267">
        <v>0</v>
      </c>
      <c r="J724" s="267">
        <v>385411</v>
      </c>
    </row>
    <row r="725" spans="1:10" ht="42.95" customHeight="1" x14ac:dyDescent="0.2">
      <c r="A725" s="278"/>
      <c r="B725" s="278"/>
      <c r="C725" s="277" t="s">
        <v>243</v>
      </c>
      <c r="D725" s="261" t="s">
        <v>86</v>
      </c>
      <c r="E725" s="267">
        <v>1</v>
      </c>
      <c r="F725" s="267">
        <v>19577</v>
      </c>
      <c r="G725" s="267">
        <v>19577</v>
      </c>
      <c r="H725" s="267">
        <v>1469</v>
      </c>
      <c r="I725" s="267">
        <v>1469</v>
      </c>
      <c r="J725" s="267">
        <v>18108</v>
      </c>
    </row>
    <row r="726" spans="1:10" ht="14.1" customHeight="1" x14ac:dyDescent="0.2">
      <c r="A726" s="278"/>
      <c r="B726" s="278"/>
      <c r="C726" s="278"/>
      <c r="D726" s="261" t="s">
        <v>84</v>
      </c>
      <c r="E726" s="267">
        <v>5</v>
      </c>
      <c r="F726" s="267">
        <v>9165</v>
      </c>
      <c r="G726" s="267">
        <v>45824</v>
      </c>
      <c r="H726" s="267">
        <v>1469</v>
      </c>
      <c r="I726" s="267">
        <v>7346</v>
      </c>
      <c r="J726" s="267">
        <v>38478</v>
      </c>
    </row>
    <row r="727" spans="1:10" ht="14.1" customHeight="1" x14ac:dyDescent="0.2">
      <c r="A727" s="278"/>
      <c r="B727" s="278"/>
      <c r="C727" s="278"/>
      <c r="D727" s="261" t="s">
        <v>78</v>
      </c>
      <c r="E727" s="267">
        <v>20</v>
      </c>
      <c r="F727" s="267">
        <v>37855</v>
      </c>
      <c r="G727" s="267">
        <v>757091</v>
      </c>
      <c r="H727" s="267">
        <v>1469</v>
      </c>
      <c r="I727" s="267">
        <v>29383</v>
      </c>
      <c r="J727" s="267">
        <v>727707</v>
      </c>
    </row>
    <row r="728" spans="1:10" ht="14.1" customHeight="1" x14ac:dyDescent="0.2">
      <c r="A728" s="278"/>
      <c r="B728" s="278"/>
      <c r="C728" s="278"/>
      <c r="D728" s="261" t="s">
        <v>153</v>
      </c>
      <c r="E728" s="267">
        <v>70</v>
      </c>
      <c r="F728" s="267">
        <v>5831</v>
      </c>
      <c r="G728" s="267">
        <v>408198</v>
      </c>
      <c r="H728" s="267">
        <v>1469</v>
      </c>
      <c r="I728" s="267">
        <v>102842</v>
      </c>
      <c r="J728" s="267">
        <v>305356</v>
      </c>
    </row>
    <row r="729" spans="1:10" ht="14.1" customHeight="1" x14ac:dyDescent="0.2">
      <c r="A729" s="278"/>
      <c r="B729" s="278"/>
      <c r="C729" s="278"/>
      <c r="D729" s="261" t="s">
        <v>154</v>
      </c>
      <c r="E729" s="267">
        <v>6</v>
      </c>
      <c r="F729" s="267">
        <v>7222</v>
      </c>
      <c r="G729" s="267">
        <v>43329</v>
      </c>
      <c r="H729" s="267">
        <v>1469</v>
      </c>
      <c r="I729" s="267">
        <v>8815</v>
      </c>
      <c r="J729" s="267">
        <v>34514</v>
      </c>
    </row>
    <row r="730" spans="1:10" ht="42.95" customHeight="1" x14ac:dyDescent="0.2">
      <c r="A730" s="278"/>
      <c r="B730" s="278"/>
      <c r="C730" s="263" t="s">
        <v>244</v>
      </c>
      <c r="D730" s="261" t="s">
        <v>153</v>
      </c>
      <c r="E730" s="267">
        <v>37</v>
      </c>
      <c r="F730" s="267">
        <v>5580</v>
      </c>
      <c r="G730" s="267">
        <v>206446</v>
      </c>
      <c r="H730" s="267">
        <v>1242</v>
      </c>
      <c r="I730" s="267">
        <v>45947</v>
      </c>
      <c r="J730" s="267">
        <v>160499</v>
      </c>
    </row>
    <row r="731" spans="1:10" ht="42.95" customHeight="1" x14ac:dyDescent="0.2">
      <c r="A731" s="278"/>
      <c r="B731" s="278"/>
      <c r="C731" s="277" t="s">
        <v>245</v>
      </c>
      <c r="D731" s="261" t="s">
        <v>83</v>
      </c>
      <c r="E731" s="267">
        <v>2</v>
      </c>
      <c r="F731" s="267">
        <v>2773</v>
      </c>
      <c r="G731" s="267">
        <v>5545</v>
      </c>
      <c r="H731" s="267">
        <v>790</v>
      </c>
      <c r="I731" s="267">
        <v>1580</v>
      </c>
      <c r="J731" s="267">
        <v>3965</v>
      </c>
    </row>
    <row r="732" spans="1:10" ht="14.1" customHeight="1" x14ac:dyDescent="0.2">
      <c r="A732" s="278"/>
      <c r="B732" s="278"/>
      <c r="C732" s="278"/>
      <c r="D732" s="261" t="s">
        <v>118</v>
      </c>
      <c r="E732" s="267">
        <v>3</v>
      </c>
      <c r="F732" s="267">
        <v>51490</v>
      </c>
      <c r="G732" s="267">
        <v>154471</v>
      </c>
      <c r="H732" s="267">
        <v>790</v>
      </c>
      <c r="I732" s="267">
        <v>2370</v>
      </c>
      <c r="J732" s="267">
        <v>152101</v>
      </c>
    </row>
    <row r="733" spans="1:10" ht="14.1" customHeight="1" x14ac:dyDescent="0.2">
      <c r="A733" s="278"/>
      <c r="B733" s="278"/>
      <c r="C733" s="278"/>
      <c r="D733" s="261" t="s">
        <v>92</v>
      </c>
      <c r="E733" s="267">
        <v>496</v>
      </c>
      <c r="F733" s="267">
        <v>31120</v>
      </c>
      <c r="G733" s="267">
        <v>15435730</v>
      </c>
      <c r="H733" s="267">
        <v>790</v>
      </c>
      <c r="I733" s="267">
        <v>391830</v>
      </c>
      <c r="J733" s="267">
        <v>15043900</v>
      </c>
    </row>
    <row r="734" spans="1:10" ht="14.1" customHeight="1" x14ac:dyDescent="0.2">
      <c r="A734" s="278"/>
      <c r="B734" s="278"/>
      <c r="C734" s="278"/>
      <c r="D734" s="261" t="s">
        <v>86</v>
      </c>
      <c r="E734" s="267">
        <v>899</v>
      </c>
      <c r="F734" s="267">
        <v>18898</v>
      </c>
      <c r="G734" s="267">
        <v>16989195</v>
      </c>
      <c r="H734" s="267">
        <v>790</v>
      </c>
      <c r="I734" s="267">
        <v>710193</v>
      </c>
      <c r="J734" s="267">
        <v>16279002</v>
      </c>
    </row>
    <row r="735" spans="1:10" ht="14.1" customHeight="1" x14ac:dyDescent="0.2">
      <c r="A735" s="278"/>
      <c r="B735" s="278"/>
      <c r="C735" s="278"/>
      <c r="D735" s="261" t="s">
        <v>87</v>
      </c>
      <c r="E735" s="267">
        <v>13</v>
      </c>
      <c r="F735" s="267">
        <v>12107</v>
      </c>
      <c r="G735" s="267">
        <v>157390</v>
      </c>
      <c r="H735" s="267">
        <v>790</v>
      </c>
      <c r="I735" s="267">
        <v>10270</v>
      </c>
      <c r="J735" s="267">
        <v>147120</v>
      </c>
    </row>
    <row r="736" spans="1:10" ht="14.1" customHeight="1" x14ac:dyDescent="0.2">
      <c r="A736" s="278"/>
      <c r="B736" s="278"/>
      <c r="C736" s="278"/>
      <c r="D736" s="261" t="s">
        <v>84</v>
      </c>
      <c r="E736" s="267">
        <v>216</v>
      </c>
      <c r="F736" s="267">
        <v>8486</v>
      </c>
      <c r="G736" s="267">
        <v>1832879</v>
      </c>
      <c r="H736" s="267">
        <v>790</v>
      </c>
      <c r="I736" s="267">
        <v>170636</v>
      </c>
      <c r="J736" s="267">
        <v>1662243</v>
      </c>
    </row>
    <row r="737" spans="1:10" ht="14.1" customHeight="1" x14ac:dyDescent="0.2">
      <c r="A737" s="278"/>
      <c r="B737" s="278"/>
      <c r="C737" s="278"/>
      <c r="D737" s="261" t="s">
        <v>96</v>
      </c>
      <c r="E737" s="267">
        <v>9</v>
      </c>
      <c r="F737" s="267">
        <v>3507</v>
      </c>
      <c r="G737" s="267">
        <v>31561</v>
      </c>
      <c r="H737" s="267">
        <v>790</v>
      </c>
      <c r="I737" s="267">
        <v>7110</v>
      </c>
      <c r="J737" s="267">
        <v>24451</v>
      </c>
    </row>
    <row r="738" spans="1:10" ht="14.1" customHeight="1" x14ac:dyDescent="0.2">
      <c r="A738" s="278"/>
      <c r="B738" s="278"/>
      <c r="C738" s="278"/>
      <c r="D738" s="261" t="s">
        <v>88</v>
      </c>
      <c r="E738" s="267">
        <v>5</v>
      </c>
      <c r="F738" s="267">
        <v>2149</v>
      </c>
      <c r="G738" s="267">
        <v>10747</v>
      </c>
      <c r="H738" s="267">
        <v>790</v>
      </c>
      <c r="I738" s="267">
        <v>3950</v>
      </c>
      <c r="J738" s="267">
        <v>6797</v>
      </c>
    </row>
    <row r="739" spans="1:10" ht="14.1" customHeight="1" x14ac:dyDescent="0.2">
      <c r="A739" s="278"/>
      <c r="B739" s="278"/>
      <c r="C739" s="278"/>
      <c r="D739" s="261" t="s">
        <v>78</v>
      </c>
      <c r="E739" s="267">
        <v>791</v>
      </c>
      <c r="F739" s="267">
        <v>37175</v>
      </c>
      <c r="G739" s="267">
        <v>29405692</v>
      </c>
      <c r="H739" s="267">
        <v>790</v>
      </c>
      <c r="I739" s="267">
        <v>624875</v>
      </c>
      <c r="J739" s="267">
        <v>28780817</v>
      </c>
    </row>
    <row r="740" spans="1:10" ht="14.1" customHeight="1" x14ac:dyDescent="0.2">
      <c r="A740" s="278"/>
      <c r="B740" s="278"/>
      <c r="C740" s="278"/>
      <c r="D740" s="261" t="s">
        <v>152</v>
      </c>
      <c r="E740" s="267">
        <v>49</v>
      </c>
      <c r="F740" s="267">
        <v>28002</v>
      </c>
      <c r="G740" s="267">
        <v>1372094</v>
      </c>
      <c r="H740" s="267">
        <v>790</v>
      </c>
      <c r="I740" s="267">
        <v>38709</v>
      </c>
      <c r="J740" s="267">
        <v>1333385</v>
      </c>
    </row>
    <row r="741" spans="1:10" ht="14.1" customHeight="1" x14ac:dyDescent="0.2">
      <c r="A741" s="278"/>
      <c r="B741" s="278"/>
      <c r="C741" s="278"/>
      <c r="D741" s="261" t="s">
        <v>153</v>
      </c>
      <c r="E741" s="267">
        <v>623</v>
      </c>
      <c r="F741" s="267">
        <v>5152</v>
      </c>
      <c r="G741" s="267">
        <v>3209830</v>
      </c>
      <c r="H741" s="267">
        <v>790</v>
      </c>
      <c r="I741" s="267">
        <v>492158</v>
      </c>
      <c r="J741" s="267">
        <v>2717672</v>
      </c>
    </row>
    <row r="742" spans="1:10" ht="14.1" customHeight="1" x14ac:dyDescent="0.2">
      <c r="A742" s="278"/>
      <c r="B742" s="278"/>
      <c r="C742" s="278"/>
      <c r="D742" s="261" t="s">
        <v>154</v>
      </c>
      <c r="E742" s="267">
        <v>643</v>
      </c>
      <c r="F742" s="267">
        <v>6542</v>
      </c>
      <c r="G742" s="267">
        <v>4206756</v>
      </c>
      <c r="H742" s="267">
        <v>790</v>
      </c>
      <c r="I742" s="267">
        <v>507958</v>
      </c>
      <c r="J742" s="267">
        <v>3698799</v>
      </c>
    </row>
    <row r="743" spans="1:10" ht="42.95" customHeight="1" x14ac:dyDescent="0.2">
      <c r="A743" s="278"/>
      <c r="B743" s="277" t="s">
        <v>247</v>
      </c>
      <c r="C743" s="277" t="s">
        <v>245</v>
      </c>
      <c r="D743" s="261" t="s">
        <v>92</v>
      </c>
      <c r="E743" s="267">
        <v>11</v>
      </c>
      <c r="F743" s="267">
        <v>31120</v>
      </c>
      <c r="G743" s="267">
        <v>342325</v>
      </c>
      <c r="H743" s="267">
        <v>1978</v>
      </c>
      <c r="I743" s="267">
        <v>21756</v>
      </c>
      <c r="J743" s="267">
        <v>320568</v>
      </c>
    </row>
    <row r="744" spans="1:10" ht="14.1" customHeight="1" x14ac:dyDescent="0.2">
      <c r="A744" s="278"/>
      <c r="B744" s="278"/>
      <c r="C744" s="278"/>
      <c r="D744" s="261" t="s">
        <v>86</v>
      </c>
      <c r="E744" s="267">
        <v>60</v>
      </c>
      <c r="F744" s="267">
        <v>18898</v>
      </c>
      <c r="G744" s="267">
        <v>1133873</v>
      </c>
      <c r="H744" s="267">
        <v>1978</v>
      </c>
      <c r="I744" s="267">
        <v>118671</v>
      </c>
      <c r="J744" s="267">
        <v>1015202</v>
      </c>
    </row>
    <row r="745" spans="1:10" ht="14.1" customHeight="1" x14ac:dyDescent="0.2">
      <c r="A745" s="278"/>
      <c r="B745" s="278"/>
      <c r="C745" s="278"/>
      <c r="D745" s="261" t="s">
        <v>84</v>
      </c>
      <c r="E745" s="267">
        <v>36</v>
      </c>
      <c r="F745" s="267">
        <v>8486</v>
      </c>
      <c r="G745" s="267">
        <v>305480</v>
      </c>
      <c r="H745" s="267">
        <v>1978</v>
      </c>
      <c r="I745" s="267">
        <v>71202</v>
      </c>
      <c r="J745" s="267">
        <v>234277</v>
      </c>
    </row>
    <row r="746" spans="1:10" ht="14.1" customHeight="1" x14ac:dyDescent="0.2">
      <c r="A746" s="278"/>
      <c r="B746" s="278"/>
      <c r="C746" s="278"/>
      <c r="D746" s="261" t="s">
        <v>85</v>
      </c>
      <c r="E746" s="267">
        <v>7</v>
      </c>
      <c r="F746" s="267">
        <v>5771</v>
      </c>
      <c r="G746" s="267">
        <v>40395</v>
      </c>
      <c r="H746" s="267">
        <v>1978</v>
      </c>
      <c r="I746" s="267">
        <v>13845</v>
      </c>
      <c r="J746" s="267">
        <v>26550</v>
      </c>
    </row>
    <row r="747" spans="1:10" ht="14.1" customHeight="1" x14ac:dyDescent="0.2">
      <c r="A747" s="278"/>
      <c r="B747" s="278"/>
      <c r="C747" s="278"/>
      <c r="D747" s="261" t="s">
        <v>96</v>
      </c>
      <c r="E747" s="267">
        <v>1</v>
      </c>
      <c r="F747" s="267">
        <v>3507</v>
      </c>
      <c r="G747" s="267">
        <v>3507</v>
      </c>
      <c r="H747" s="267">
        <v>1978</v>
      </c>
      <c r="I747" s="267">
        <v>1978</v>
      </c>
      <c r="J747" s="267">
        <v>1529</v>
      </c>
    </row>
    <row r="748" spans="1:10" ht="14.1" customHeight="1" x14ac:dyDescent="0.2">
      <c r="A748" s="278"/>
      <c r="B748" s="278"/>
      <c r="C748" s="278"/>
      <c r="D748" s="261" t="s">
        <v>88</v>
      </c>
      <c r="E748" s="267">
        <v>34</v>
      </c>
      <c r="F748" s="267">
        <v>2149</v>
      </c>
      <c r="G748" s="267">
        <v>73077</v>
      </c>
      <c r="H748" s="267">
        <v>1978</v>
      </c>
      <c r="I748" s="267">
        <v>67247</v>
      </c>
      <c r="J748" s="267">
        <v>5830</v>
      </c>
    </row>
    <row r="749" spans="1:10" ht="14.1" customHeight="1" x14ac:dyDescent="0.2">
      <c r="A749" s="278" t="s">
        <v>57</v>
      </c>
      <c r="B749" s="278" t="s">
        <v>60</v>
      </c>
      <c r="C749" s="278"/>
      <c r="D749" s="278"/>
      <c r="E749" s="267">
        <v>19142</v>
      </c>
      <c r="F749" s="267"/>
      <c r="G749" s="267">
        <v>303378701</v>
      </c>
      <c r="H749" s="267"/>
      <c r="I749" s="267">
        <v>30919464</v>
      </c>
      <c r="J749" s="267">
        <v>272459237</v>
      </c>
    </row>
    <row r="750" spans="1:10" ht="14.1" customHeight="1" x14ac:dyDescent="0.2">
      <c r="A750" s="278"/>
      <c r="B750" s="261" t="s">
        <v>71</v>
      </c>
      <c r="C750" s="261" t="s">
        <v>72</v>
      </c>
      <c r="D750" s="261" t="s">
        <v>73</v>
      </c>
      <c r="E750" s="284">
        <v>263</v>
      </c>
      <c r="F750" s="284">
        <v>11382</v>
      </c>
      <c r="G750" s="284">
        <v>2993589</v>
      </c>
      <c r="H750" s="284">
        <v>0</v>
      </c>
      <c r="I750" s="284">
        <v>0</v>
      </c>
      <c r="J750" s="284">
        <v>2993589</v>
      </c>
    </row>
    <row r="751" spans="1:10" ht="14.1" customHeight="1" x14ac:dyDescent="0.2">
      <c r="A751" s="278"/>
      <c r="B751" s="279" t="s">
        <v>74</v>
      </c>
      <c r="C751" s="262" t="s">
        <v>75</v>
      </c>
      <c r="D751" s="261" t="s">
        <v>77</v>
      </c>
      <c r="E751" s="285"/>
      <c r="F751" s="285"/>
      <c r="G751" s="285"/>
      <c r="H751" s="285"/>
      <c r="I751" s="285"/>
      <c r="J751" s="285"/>
    </row>
    <row r="752" spans="1:10" ht="42.95" customHeight="1" x14ac:dyDescent="0.2">
      <c r="A752" s="278"/>
      <c r="B752" s="278"/>
      <c r="C752" s="263" t="s">
        <v>243</v>
      </c>
      <c r="D752" s="261" t="s">
        <v>79</v>
      </c>
      <c r="E752" s="267">
        <v>11</v>
      </c>
      <c r="F752" s="267">
        <v>12852</v>
      </c>
      <c r="G752" s="267">
        <v>141368</v>
      </c>
      <c r="H752" s="267">
        <v>2657</v>
      </c>
      <c r="I752" s="267">
        <v>29227</v>
      </c>
      <c r="J752" s="267">
        <v>112141</v>
      </c>
    </row>
    <row r="753" spans="1:10" ht="42.95" customHeight="1" x14ac:dyDescent="0.2">
      <c r="A753" s="278"/>
      <c r="B753" s="278"/>
      <c r="C753" s="263" t="s">
        <v>245</v>
      </c>
      <c r="D753" s="261" t="s">
        <v>79</v>
      </c>
      <c r="E753" s="267">
        <v>2015</v>
      </c>
      <c r="F753" s="267">
        <v>12172</v>
      </c>
      <c r="G753" s="267">
        <v>24527481</v>
      </c>
      <c r="H753" s="267">
        <v>1978</v>
      </c>
      <c r="I753" s="267">
        <v>3985352</v>
      </c>
      <c r="J753" s="267">
        <v>20542129</v>
      </c>
    </row>
    <row r="754" spans="1:10" ht="42.95" customHeight="1" x14ac:dyDescent="0.2">
      <c r="A754" s="278"/>
      <c r="B754" s="277" t="s">
        <v>246</v>
      </c>
      <c r="C754" s="280" t="s">
        <v>75</v>
      </c>
      <c r="D754" s="261" t="s">
        <v>91</v>
      </c>
      <c r="E754" s="267">
        <v>1</v>
      </c>
      <c r="F754" s="267">
        <v>18108</v>
      </c>
      <c r="G754" s="267">
        <v>18108</v>
      </c>
      <c r="H754" s="267">
        <v>0</v>
      </c>
      <c r="I754" s="267">
        <v>0</v>
      </c>
      <c r="J754" s="267">
        <v>18108</v>
      </c>
    </row>
    <row r="755" spans="1:10" ht="14.1" customHeight="1" x14ac:dyDescent="0.2">
      <c r="A755" s="278"/>
      <c r="B755" s="278"/>
      <c r="C755" s="278"/>
      <c r="D755" s="261" t="s">
        <v>90</v>
      </c>
      <c r="E755" s="267">
        <v>10</v>
      </c>
      <c r="F755" s="267">
        <v>7696</v>
      </c>
      <c r="G755" s="267">
        <v>76956</v>
      </c>
      <c r="H755" s="267">
        <v>0</v>
      </c>
      <c r="I755" s="267">
        <v>0</v>
      </c>
      <c r="J755" s="267">
        <v>76956</v>
      </c>
    </row>
    <row r="756" spans="1:10" ht="14.1" customHeight="1" x14ac:dyDescent="0.2">
      <c r="A756" s="278"/>
      <c r="B756" s="278"/>
      <c r="C756" s="278"/>
      <c r="D756" s="261" t="s">
        <v>100</v>
      </c>
      <c r="E756" s="267">
        <v>2</v>
      </c>
      <c r="F756" s="267">
        <v>4981</v>
      </c>
      <c r="G756" s="267">
        <v>9961</v>
      </c>
      <c r="H756" s="267">
        <v>0</v>
      </c>
      <c r="I756" s="267">
        <v>0</v>
      </c>
      <c r="J756" s="267">
        <v>9961</v>
      </c>
    </row>
    <row r="757" spans="1:10" ht="14.1" customHeight="1" x14ac:dyDescent="0.2">
      <c r="A757" s="278"/>
      <c r="B757" s="278"/>
      <c r="C757" s="278"/>
      <c r="D757" s="261" t="s">
        <v>98</v>
      </c>
      <c r="E757" s="267">
        <v>1</v>
      </c>
      <c r="F757" s="267">
        <v>2717</v>
      </c>
      <c r="G757" s="267">
        <v>2717</v>
      </c>
      <c r="H757" s="267">
        <v>0</v>
      </c>
      <c r="I757" s="267">
        <v>0</v>
      </c>
      <c r="J757" s="267">
        <v>2717</v>
      </c>
    </row>
    <row r="758" spans="1:10" ht="14.1" customHeight="1" x14ac:dyDescent="0.2">
      <c r="A758" s="278"/>
      <c r="B758" s="278"/>
      <c r="C758" s="278"/>
      <c r="D758" s="261" t="s">
        <v>76</v>
      </c>
      <c r="E758" s="267">
        <v>186</v>
      </c>
      <c r="F758" s="267">
        <v>36385</v>
      </c>
      <c r="G758" s="267">
        <v>6767676</v>
      </c>
      <c r="H758" s="267">
        <v>0</v>
      </c>
      <c r="I758" s="267">
        <v>0</v>
      </c>
      <c r="J758" s="267">
        <v>6767676</v>
      </c>
    </row>
    <row r="759" spans="1:10" ht="14.1" customHeight="1" x14ac:dyDescent="0.2">
      <c r="A759" s="278"/>
      <c r="B759" s="278"/>
      <c r="C759" s="278"/>
      <c r="D759" s="261" t="s">
        <v>155</v>
      </c>
      <c r="E759" s="267">
        <v>15</v>
      </c>
      <c r="F759" s="267">
        <v>4362</v>
      </c>
      <c r="G759" s="267">
        <v>65434</v>
      </c>
      <c r="H759" s="267">
        <v>0</v>
      </c>
      <c r="I759" s="267">
        <v>0</v>
      </c>
      <c r="J759" s="267">
        <v>65434</v>
      </c>
    </row>
    <row r="760" spans="1:10" ht="14.1" customHeight="1" x14ac:dyDescent="0.2">
      <c r="A760" s="278"/>
      <c r="B760" s="278"/>
      <c r="C760" s="278"/>
      <c r="D760" s="261" t="s">
        <v>151</v>
      </c>
      <c r="E760" s="267">
        <v>27</v>
      </c>
      <c r="F760" s="267">
        <v>5752</v>
      </c>
      <c r="G760" s="267">
        <v>155315</v>
      </c>
      <c r="H760" s="267">
        <v>0</v>
      </c>
      <c r="I760" s="267">
        <v>0</v>
      </c>
      <c r="J760" s="267">
        <v>155315</v>
      </c>
    </row>
    <row r="761" spans="1:10" ht="42.95" customHeight="1" x14ac:dyDescent="0.2">
      <c r="A761" s="278"/>
      <c r="B761" s="278"/>
      <c r="C761" s="277" t="s">
        <v>243</v>
      </c>
      <c r="D761" s="261" t="s">
        <v>83</v>
      </c>
      <c r="E761" s="267">
        <v>4</v>
      </c>
      <c r="F761" s="267">
        <v>3452</v>
      </c>
      <c r="G761" s="267">
        <v>13807</v>
      </c>
      <c r="H761" s="267">
        <v>1469</v>
      </c>
      <c r="I761" s="267">
        <v>5877</v>
      </c>
      <c r="J761" s="267">
        <v>7931</v>
      </c>
    </row>
    <row r="762" spans="1:10" ht="14.1" customHeight="1" x14ac:dyDescent="0.2">
      <c r="A762" s="278"/>
      <c r="B762" s="278"/>
      <c r="C762" s="278"/>
      <c r="D762" s="261" t="s">
        <v>84</v>
      </c>
      <c r="E762" s="267">
        <v>1</v>
      </c>
      <c r="F762" s="267">
        <v>9165</v>
      </c>
      <c r="G762" s="267">
        <v>9165</v>
      </c>
      <c r="H762" s="267">
        <v>1469</v>
      </c>
      <c r="I762" s="267">
        <v>1469</v>
      </c>
      <c r="J762" s="267">
        <v>7696</v>
      </c>
    </row>
    <row r="763" spans="1:10" ht="14.1" customHeight="1" x14ac:dyDescent="0.2">
      <c r="A763" s="278"/>
      <c r="B763" s="278"/>
      <c r="C763" s="278"/>
      <c r="D763" s="261" t="s">
        <v>96</v>
      </c>
      <c r="E763" s="267">
        <v>4</v>
      </c>
      <c r="F763" s="267">
        <v>4186</v>
      </c>
      <c r="G763" s="267">
        <v>16744</v>
      </c>
      <c r="H763" s="267">
        <v>1469</v>
      </c>
      <c r="I763" s="267">
        <v>5877</v>
      </c>
      <c r="J763" s="267">
        <v>10867</v>
      </c>
    </row>
    <row r="764" spans="1:10" ht="14.1" customHeight="1" x14ac:dyDescent="0.2">
      <c r="A764" s="278"/>
      <c r="B764" s="278"/>
      <c r="C764" s="278"/>
      <c r="D764" s="261" t="s">
        <v>78</v>
      </c>
      <c r="E764" s="267">
        <v>11</v>
      </c>
      <c r="F764" s="267">
        <v>37855</v>
      </c>
      <c r="G764" s="267">
        <v>416400</v>
      </c>
      <c r="H764" s="267">
        <v>1469</v>
      </c>
      <c r="I764" s="267">
        <v>16161</v>
      </c>
      <c r="J764" s="267">
        <v>400239</v>
      </c>
    </row>
    <row r="765" spans="1:10" ht="14.1" customHeight="1" x14ac:dyDescent="0.2">
      <c r="A765" s="278"/>
      <c r="B765" s="278"/>
      <c r="C765" s="278"/>
      <c r="D765" s="261" t="s">
        <v>152</v>
      </c>
      <c r="E765" s="267">
        <v>4</v>
      </c>
      <c r="F765" s="267">
        <v>28681</v>
      </c>
      <c r="G765" s="267">
        <v>114724</v>
      </c>
      <c r="H765" s="267">
        <v>1469</v>
      </c>
      <c r="I765" s="267">
        <v>5877</v>
      </c>
      <c r="J765" s="267">
        <v>108848</v>
      </c>
    </row>
    <row r="766" spans="1:10" ht="14.1" customHeight="1" x14ac:dyDescent="0.2">
      <c r="A766" s="278"/>
      <c r="B766" s="278"/>
      <c r="C766" s="278"/>
      <c r="D766" s="261" t="s">
        <v>153</v>
      </c>
      <c r="E766" s="267">
        <v>2</v>
      </c>
      <c r="F766" s="267">
        <v>5831</v>
      </c>
      <c r="G766" s="267">
        <v>11663</v>
      </c>
      <c r="H766" s="267">
        <v>1469</v>
      </c>
      <c r="I766" s="267">
        <v>2938</v>
      </c>
      <c r="J766" s="267">
        <v>8724</v>
      </c>
    </row>
    <row r="767" spans="1:10" ht="42.95" customHeight="1" x14ac:dyDescent="0.2">
      <c r="A767" s="278"/>
      <c r="B767" s="278"/>
      <c r="C767" s="263" t="s">
        <v>244</v>
      </c>
      <c r="D767" s="261" t="s">
        <v>153</v>
      </c>
      <c r="E767" s="267">
        <v>3</v>
      </c>
      <c r="F767" s="267">
        <v>5453</v>
      </c>
      <c r="G767" s="267">
        <v>16360</v>
      </c>
      <c r="H767" s="267">
        <v>1242</v>
      </c>
      <c r="I767" s="267">
        <v>3725</v>
      </c>
      <c r="J767" s="267">
        <v>12635</v>
      </c>
    </row>
    <row r="768" spans="1:10" ht="42.95" customHeight="1" x14ac:dyDescent="0.2">
      <c r="A768" s="278"/>
      <c r="B768" s="278"/>
      <c r="C768" s="277" t="s">
        <v>245</v>
      </c>
      <c r="D768" s="261" t="s">
        <v>83</v>
      </c>
      <c r="E768" s="267">
        <v>253</v>
      </c>
      <c r="F768" s="267">
        <v>2773</v>
      </c>
      <c r="G768" s="267">
        <v>701478</v>
      </c>
      <c r="H768" s="267">
        <v>790</v>
      </c>
      <c r="I768" s="267">
        <v>199865</v>
      </c>
      <c r="J768" s="267">
        <v>501613</v>
      </c>
    </row>
    <row r="769" spans="1:10" ht="14.1" customHeight="1" x14ac:dyDescent="0.2">
      <c r="A769" s="278"/>
      <c r="B769" s="278"/>
      <c r="C769" s="278"/>
      <c r="D769" s="261" t="s">
        <v>118</v>
      </c>
      <c r="E769" s="267">
        <v>1</v>
      </c>
      <c r="F769" s="267">
        <v>51490</v>
      </c>
      <c r="G769" s="267">
        <v>51490</v>
      </c>
      <c r="H769" s="267">
        <v>790</v>
      </c>
      <c r="I769" s="267">
        <v>790</v>
      </c>
      <c r="J769" s="267">
        <v>50700</v>
      </c>
    </row>
    <row r="770" spans="1:10" ht="14.1" customHeight="1" x14ac:dyDescent="0.2">
      <c r="A770" s="278"/>
      <c r="B770" s="278"/>
      <c r="C770" s="278"/>
      <c r="D770" s="261" t="s">
        <v>92</v>
      </c>
      <c r="E770" s="267">
        <v>94</v>
      </c>
      <c r="F770" s="267">
        <v>31120</v>
      </c>
      <c r="G770" s="267">
        <v>2925320</v>
      </c>
      <c r="H770" s="267">
        <v>790</v>
      </c>
      <c r="I770" s="267">
        <v>74258</v>
      </c>
      <c r="J770" s="267">
        <v>2851062</v>
      </c>
    </row>
    <row r="771" spans="1:10" ht="14.1" customHeight="1" x14ac:dyDescent="0.2">
      <c r="A771" s="278"/>
      <c r="B771" s="278"/>
      <c r="C771" s="278"/>
      <c r="D771" s="261" t="s">
        <v>86</v>
      </c>
      <c r="E771" s="267">
        <v>50</v>
      </c>
      <c r="F771" s="267">
        <v>18898</v>
      </c>
      <c r="G771" s="267">
        <v>944894</v>
      </c>
      <c r="H771" s="267">
        <v>790</v>
      </c>
      <c r="I771" s="267">
        <v>39499</v>
      </c>
      <c r="J771" s="267">
        <v>905395</v>
      </c>
    </row>
    <row r="772" spans="1:10" ht="14.1" customHeight="1" x14ac:dyDescent="0.2">
      <c r="A772" s="278"/>
      <c r="B772" s="278"/>
      <c r="C772" s="278"/>
      <c r="D772" s="261" t="s">
        <v>87</v>
      </c>
      <c r="E772" s="267">
        <v>58</v>
      </c>
      <c r="F772" s="267">
        <v>12107</v>
      </c>
      <c r="G772" s="267">
        <v>702202</v>
      </c>
      <c r="H772" s="267">
        <v>790</v>
      </c>
      <c r="I772" s="267">
        <v>45819</v>
      </c>
      <c r="J772" s="267">
        <v>656383</v>
      </c>
    </row>
    <row r="773" spans="1:10" ht="14.1" customHeight="1" x14ac:dyDescent="0.2">
      <c r="A773" s="278"/>
      <c r="B773" s="278"/>
      <c r="C773" s="278"/>
      <c r="D773" s="261" t="s">
        <v>84</v>
      </c>
      <c r="E773" s="267">
        <v>102</v>
      </c>
      <c r="F773" s="267">
        <v>8486</v>
      </c>
      <c r="G773" s="267">
        <v>865526</v>
      </c>
      <c r="H773" s="267">
        <v>790</v>
      </c>
      <c r="I773" s="267">
        <v>80578</v>
      </c>
      <c r="J773" s="267">
        <v>784948</v>
      </c>
    </row>
    <row r="774" spans="1:10" ht="14.1" customHeight="1" x14ac:dyDescent="0.2">
      <c r="A774" s="278"/>
      <c r="B774" s="278"/>
      <c r="C774" s="278"/>
      <c r="D774" s="261" t="s">
        <v>85</v>
      </c>
      <c r="E774" s="267">
        <v>44</v>
      </c>
      <c r="F774" s="267">
        <v>5771</v>
      </c>
      <c r="G774" s="267">
        <v>253911</v>
      </c>
      <c r="H774" s="267">
        <v>790</v>
      </c>
      <c r="I774" s="267">
        <v>34759</v>
      </c>
      <c r="J774" s="267">
        <v>219152</v>
      </c>
    </row>
    <row r="775" spans="1:10" ht="14.1" customHeight="1" x14ac:dyDescent="0.2">
      <c r="A775" s="278"/>
      <c r="B775" s="278"/>
      <c r="C775" s="278"/>
      <c r="D775" s="261" t="s">
        <v>96</v>
      </c>
      <c r="E775" s="267">
        <v>247</v>
      </c>
      <c r="F775" s="267">
        <v>3507</v>
      </c>
      <c r="G775" s="267">
        <v>866166</v>
      </c>
      <c r="H775" s="267">
        <v>790</v>
      </c>
      <c r="I775" s="267">
        <v>195125</v>
      </c>
      <c r="J775" s="267">
        <v>671040</v>
      </c>
    </row>
    <row r="776" spans="1:10" ht="14.1" customHeight="1" x14ac:dyDescent="0.2">
      <c r="A776" s="278"/>
      <c r="B776" s="278"/>
      <c r="C776" s="278"/>
      <c r="D776" s="261" t="s">
        <v>88</v>
      </c>
      <c r="E776" s="267">
        <v>1</v>
      </c>
      <c r="F776" s="267">
        <v>2149</v>
      </c>
      <c r="G776" s="267">
        <v>2149</v>
      </c>
      <c r="H776" s="267">
        <v>790</v>
      </c>
      <c r="I776" s="267">
        <v>790</v>
      </c>
      <c r="J776" s="267">
        <v>1359</v>
      </c>
    </row>
    <row r="777" spans="1:10" ht="14.1" customHeight="1" x14ac:dyDescent="0.2">
      <c r="A777" s="278"/>
      <c r="B777" s="278"/>
      <c r="C777" s="278"/>
      <c r="D777" s="261" t="s">
        <v>78</v>
      </c>
      <c r="E777" s="267">
        <v>3150</v>
      </c>
      <c r="F777" s="267">
        <v>37175</v>
      </c>
      <c r="G777" s="267">
        <v>117102312</v>
      </c>
      <c r="H777" s="267">
        <v>790</v>
      </c>
      <c r="I777" s="267">
        <v>2488439</v>
      </c>
      <c r="J777" s="267">
        <v>114613873</v>
      </c>
    </row>
    <row r="778" spans="1:10" ht="14.1" customHeight="1" x14ac:dyDescent="0.2">
      <c r="A778" s="278"/>
      <c r="B778" s="278"/>
      <c r="C778" s="278"/>
      <c r="D778" s="261" t="s">
        <v>152</v>
      </c>
      <c r="E778" s="267">
        <v>82</v>
      </c>
      <c r="F778" s="267">
        <v>28002</v>
      </c>
      <c r="G778" s="267">
        <v>2296158</v>
      </c>
      <c r="H778" s="267">
        <v>790</v>
      </c>
      <c r="I778" s="267">
        <v>64778</v>
      </c>
      <c r="J778" s="267">
        <v>2231380</v>
      </c>
    </row>
    <row r="779" spans="1:10" ht="14.1" customHeight="1" x14ac:dyDescent="0.2">
      <c r="A779" s="278"/>
      <c r="B779" s="278"/>
      <c r="C779" s="278"/>
      <c r="D779" s="261" t="s">
        <v>153</v>
      </c>
      <c r="E779" s="267">
        <v>678</v>
      </c>
      <c r="F779" s="267">
        <v>5152</v>
      </c>
      <c r="G779" s="267">
        <v>3493202</v>
      </c>
      <c r="H779" s="267">
        <v>790</v>
      </c>
      <c r="I779" s="267">
        <v>535607</v>
      </c>
      <c r="J779" s="267">
        <v>2957595</v>
      </c>
    </row>
    <row r="780" spans="1:10" ht="14.1" customHeight="1" x14ac:dyDescent="0.2">
      <c r="A780" s="278"/>
      <c r="B780" s="278"/>
      <c r="C780" s="278"/>
      <c r="D780" s="261" t="s">
        <v>154</v>
      </c>
      <c r="E780" s="267">
        <v>184</v>
      </c>
      <c r="F780" s="267">
        <v>6542</v>
      </c>
      <c r="G780" s="267">
        <v>1203800</v>
      </c>
      <c r="H780" s="267">
        <v>790</v>
      </c>
      <c r="I780" s="267">
        <v>145356</v>
      </c>
      <c r="J780" s="267">
        <v>1058443</v>
      </c>
    </row>
    <row r="781" spans="1:10" ht="29.1" customHeight="1" x14ac:dyDescent="0.2">
      <c r="A781" s="278"/>
      <c r="B781" s="277" t="s">
        <v>247</v>
      </c>
      <c r="C781" s="280" t="s">
        <v>75</v>
      </c>
      <c r="D781" s="261" t="s">
        <v>99</v>
      </c>
      <c r="E781" s="267">
        <v>3</v>
      </c>
      <c r="F781" s="267">
        <v>30330</v>
      </c>
      <c r="G781" s="267">
        <v>90991</v>
      </c>
      <c r="H781" s="267">
        <v>1188</v>
      </c>
      <c r="I781" s="267">
        <v>3564</v>
      </c>
      <c r="J781" s="267">
        <v>87428</v>
      </c>
    </row>
    <row r="782" spans="1:10" ht="14.1" customHeight="1" x14ac:dyDescent="0.2">
      <c r="A782" s="278"/>
      <c r="B782" s="278"/>
      <c r="C782" s="278"/>
      <c r="D782" s="261" t="s">
        <v>91</v>
      </c>
      <c r="E782" s="267">
        <v>13</v>
      </c>
      <c r="F782" s="267">
        <v>18108</v>
      </c>
      <c r="G782" s="267">
        <v>235403</v>
      </c>
      <c r="H782" s="267">
        <v>1188</v>
      </c>
      <c r="I782" s="267">
        <v>15442</v>
      </c>
      <c r="J782" s="267">
        <v>219961</v>
      </c>
    </row>
    <row r="783" spans="1:10" ht="14.1" customHeight="1" x14ac:dyDescent="0.2">
      <c r="A783" s="278"/>
      <c r="B783" s="278"/>
      <c r="C783" s="278"/>
      <c r="D783" s="261" t="s">
        <v>97</v>
      </c>
      <c r="E783" s="267">
        <v>4</v>
      </c>
      <c r="F783" s="267">
        <v>11317</v>
      </c>
      <c r="G783" s="267">
        <v>45268</v>
      </c>
      <c r="H783" s="267">
        <v>1188</v>
      </c>
      <c r="I783" s="267">
        <v>4751</v>
      </c>
      <c r="J783" s="267">
        <v>40516</v>
      </c>
    </row>
    <row r="784" spans="1:10" ht="14.1" customHeight="1" x14ac:dyDescent="0.2">
      <c r="A784" s="278"/>
      <c r="B784" s="278"/>
      <c r="C784" s="278"/>
      <c r="D784" s="261" t="s">
        <v>90</v>
      </c>
      <c r="E784" s="267">
        <v>183</v>
      </c>
      <c r="F784" s="267">
        <v>7696</v>
      </c>
      <c r="G784" s="267">
        <v>1408289</v>
      </c>
      <c r="H784" s="267">
        <v>1188</v>
      </c>
      <c r="I784" s="267">
        <v>217379</v>
      </c>
      <c r="J784" s="267">
        <v>1190910</v>
      </c>
    </row>
    <row r="785" spans="1:10" ht="14.1" customHeight="1" x14ac:dyDescent="0.2">
      <c r="A785" s="278"/>
      <c r="B785" s="278"/>
      <c r="C785" s="278"/>
      <c r="D785" s="261" t="s">
        <v>100</v>
      </c>
      <c r="E785" s="267">
        <v>8</v>
      </c>
      <c r="F785" s="267">
        <v>4981</v>
      </c>
      <c r="G785" s="267">
        <v>39846</v>
      </c>
      <c r="H785" s="267">
        <v>1188</v>
      </c>
      <c r="I785" s="267">
        <v>9503</v>
      </c>
      <c r="J785" s="267">
        <v>30343</v>
      </c>
    </row>
    <row r="786" spans="1:10" ht="14.1" customHeight="1" x14ac:dyDescent="0.2">
      <c r="A786" s="278"/>
      <c r="B786" s="278"/>
      <c r="C786" s="278"/>
      <c r="D786" s="261" t="s">
        <v>98</v>
      </c>
      <c r="E786" s="267">
        <v>6</v>
      </c>
      <c r="F786" s="267">
        <v>2717</v>
      </c>
      <c r="G786" s="267">
        <v>16301</v>
      </c>
      <c r="H786" s="267">
        <v>1188</v>
      </c>
      <c r="I786" s="267">
        <v>7127</v>
      </c>
      <c r="J786" s="267">
        <v>9173</v>
      </c>
    </row>
    <row r="787" spans="1:10" ht="14.1" customHeight="1" x14ac:dyDescent="0.2">
      <c r="A787" s="278"/>
      <c r="B787" s="278"/>
      <c r="C787" s="278"/>
      <c r="D787" s="261" t="s">
        <v>103</v>
      </c>
      <c r="E787" s="267">
        <v>1</v>
      </c>
      <c r="F787" s="267">
        <v>1359</v>
      </c>
      <c r="G787" s="267">
        <v>1359</v>
      </c>
      <c r="H787" s="267">
        <v>1188</v>
      </c>
      <c r="I787" s="267">
        <v>1188</v>
      </c>
      <c r="J787" s="267">
        <v>171</v>
      </c>
    </row>
    <row r="788" spans="1:10" ht="42.95" customHeight="1" x14ac:dyDescent="0.2">
      <c r="A788" s="278"/>
      <c r="B788" s="278"/>
      <c r="C788" s="277" t="s">
        <v>243</v>
      </c>
      <c r="D788" s="261" t="s">
        <v>92</v>
      </c>
      <c r="E788" s="267">
        <v>2</v>
      </c>
      <c r="F788" s="267">
        <v>31800</v>
      </c>
      <c r="G788" s="267">
        <v>63599</v>
      </c>
      <c r="H788" s="267">
        <v>2657</v>
      </c>
      <c r="I788" s="267">
        <v>5314</v>
      </c>
      <c r="J788" s="267">
        <v>58285</v>
      </c>
    </row>
    <row r="789" spans="1:10" ht="14.1" customHeight="1" x14ac:dyDescent="0.2">
      <c r="A789" s="278"/>
      <c r="B789" s="278"/>
      <c r="C789" s="278"/>
      <c r="D789" s="261" t="s">
        <v>86</v>
      </c>
      <c r="E789" s="267">
        <v>3</v>
      </c>
      <c r="F789" s="267">
        <v>19577</v>
      </c>
      <c r="G789" s="267">
        <v>58731</v>
      </c>
      <c r="H789" s="267">
        <v>2657</v>
      </c>
      <c r="I789" s="267">
        <v>7971</v>
      </c>
      <c r="J789" s="267">
        <v>50760</v>
      </c>
    </row>
    <row r="790" spans="1:10" ht="14.1" customHeight="1" x14ac:dyDescent="0.2">
      <c r="A790" s="278"/>
      <c r="B790" s="278"/>
      <c r="C790" s="278"/>
      <c r="D790" s="261" t="s">
        <v>87</v>
      </c>
      <c r="E790" s="267">
        <v>7</v>
      </c>
      <c r="F790" s="267">
        <v>12786</v>
      </c>
      <c r="G790" s="267">
        <v>89503</v>
      </c>
      <c r="H790" s="267">
        <v>2657</v>
      </c>
      <c r="I790" s="267">
        <v>18599</v>
      </c>
      <c r="J790" s="267">
        <v>70904</v>
      </c>
    </row>
    <row r="791" spans="1:10" ht="14.1" customHeight="1" x14ac:dyDescent="0.2">
      <c r="A791" s="278"/>
      <c r="B791" s="278"/>
      <c r="C791" s="278"/>
      <c r="D791" s="261" t="s">
        <v>84</v>
      </c>
      <c r="E791" s="267">
        <v>152</v>
      </c>
      <c r="F791" s="267">
        <v>9165</v>
      </c>
      <c r="G791" s="267">
        <v>1393040</v>
      </c>
      <c r="H791" s="267">
        <v>2657</v>
      </c>
      <c r="I791" s="267">
        <v>403869</v>
      </c>
      <c r="J791" s="267">
        <v>989171</v>
      </c>
    </row>
    <row r="792" spans="1:10" ht="42.95" customHeight="1" x14ac:dyDescent="0.2">
      <c r="A792" s="278"/>
      <c r="B792" s="278"/>
      <c r="C792" s="277" t="s">
        <v>245</v>
      </c>
      <c r="D792" s="261" t="s">
        <v>102</v>
      </c>
      <c r="E792" s="267">
        <v>2</v>
      </c>
      <c r="F792" s="267">
        <v>97664</v>
      </c>
      <c r="G792" s="267">
        <v>195328</v>
      </c>
      <c r="H792" s="267">
        <v>1978</v>
      </c>
      <c r="I792" s="267">
        <v>3956</v>
      </c>
      <c r="J792" s="267">
        <v>191372</v>
      </c>
    </row>
    <row r="793" spans="1:10" ht="14.1" customHeight="1" x14ac:dyDescent="0.2">
      <c r="A793" s="278"/>
      <c r="B793" s="278"/>
      <c r="C793" s="278"/>
      <c r="D793" s="261" t="s">
        <v>92</v>
      </c>
      <c r="E793" s="267">
        <v>304</v>
      </c>
      <c r="F793" s="267">
        <v>31120</v>
      </c>
      <c r="G793" s="267">
        <v>9460609</v>
      </c>
      <c r="H793" s="267">
        <v>1978</v>
      </c>
      <c r="I793" s="267">
        <v>601264</v>
      </c>
      <c r="J793" s="267">
        <v>8859345</v>
      </c>
    </row>
    <row r="794" spans="1:10" ht="14.1" customHeight="1" x14ac:dyDescent="0.2">
      <c r="A794" s="278"/>
      <c r="B794" s="278"/>
      <c r="C794" s="278"/>
      <c r="D794" s="261" t="s">
        <v>86</v>
      </c>
      <c r="E794" s="267">
        <v>2170</v>
      </c>
      <c r="F794" s="267">
        <v>18898</v>
      </c>
      <c r="G794" s="267">
        <v>41008401</v>
      </c>
      <c r="H794" s="267">
        <v>1978</v>
      </c>
      <c r="I794" s="267">
        <v>4291917</v>
      </c>
      <c r="J794" s="267">
        <v>36716484</v>
      </c>
    </row>
    <row r="795" spans="1:10" ht="14.1" customHeight="1" x14ac:dyDescent="0.2">
      <c r="A795" s="278"/>
      <c r="B795" s="278"/>
      <c r="C795" s="278"/>
      <c r="D795" s="261" t="s">
        <v>87</v>
      </c>
      <c r="E795" s="267">
        <v>2819</v>
      </c>
      <c r="F795" s="267">
        <v>12107</v>
      </c>
      <c r="G795" s="267">
        <v>34129454</v>
      </c>
      <c r="H795" s="267">
        <v>1978</v>
      </c>
      <c r="I795" s="267">
        <v>5575537</v>
      </c>
      <c r="J795" s="267">
        <v>28553917</v>
      </c>
    </row>
    <row r="796" spans="1:10" ht="14.1" customHeight="1" x14ac:dyDescent="0.2">
      <c r="A796" s="278"/>
      <c r="B796" s="278"/>
      <c r="C796" s="278"/>
      <c r="D796" s="261" t="s">
        <v>84</v>
      </c>
      <c r="E796" s="267">
        <v>5493</v>
      </c>
      <c r="F796" s="267">
        <v>8486</v>
      </c>
      <c r="G796" s="267">
        <v>46611121</v>
      </c>
      <c r="H796" s="267">
        <v>1978</v>
      </c>
      <c r="I796" s="267">
        <v>10864286</v>
      </c>
      <c r="J796" s="267">
        <v>35746835</v>
      </c>
    </row>
    <row r="797" spans="1:10" ht="14.1" customHeight="1" x14ac:dyDescent="0.2">
      <c r="A797" s="278"/>
      <c r="B797" s="278"/>
      <c r="C797" s="278"/>
      <c r="D797" s="261" t="s">
        <v>85</v>
      </c>
      <c r="E797" s="267">
        <v>155</v>
      </c>
      <c r="F797" s="267">
        <v>5771</v>
      </c>
      <c r="G797" s="267">
        <v>894461</v>
      </c>
      <c r="H797" s="267">
        <v>1978</v>
      </c>
      <c r="I797" s="267">
        <v>306566</v>
      </c>
      <c r="J797" s="267">
        <v>587895</v>
      </c>
    </row>
    <row r="798" spans="1:10" ht="14.1" customHeight="1" x14ac:dyDescent="0.2">
      <c r="A798" s="278"/>
      <c r="B798" s="278"/>
      <c r="C798" s="278"/>
      <c r="D798" s="261" t="s">
        <v>96</v>
      </c>
      <c r="E798" s="267">
        <v>146</v>
      </c>
      <c r="F798" s="267">
        <v>3507</v>
      </c>
      <c r="G798" s="267">
        <v>511985</v>
      </c>
      <c r="H798" s="267">
        <v>1978</v>
      </c>
      <c r="I798" s="267">
        <v>288765</v>
      </c>
      <c r="J798" s="267">
        <v>223220</v>
      </c>
    </row>
    <row r="799" spans="1:10" ht="14.1" customHeight="1" x14ac:dyDescent="0.2">
      <c r="A799" s="278"/>
      <c r="B799" s="278"/>
      <c r="C799" s="278"/>
      <c r="D799" s="261" t="s">
        <v>88</v>
      </c>
      <c r="E799" s="267">
        <v>167</v>
      </c>
      <c r="F799" s="267">
        <v>2149</v>
      </c>
      <c r="G799" s="267">
        <v>358937</v>
      </c>
      <c r="H799" s="267">
        <v>1978</v>
      </c>
      <c r="I799" s="267">
        <v>330300</v>
      </c>
      <c r="J799" s="267">
        <v>28638</v>
      </c>
    </row>
    <row r="800" spans="1:10" ht="29.1" customHeight="1" x14ac:dyDescent="0.2">
      <c r="A800" s="277" t="s">
        <v>255</v>
      </c>
      <c r="B800" s="278" t="s">
        <v>60</v>
      </c>
      <c r="C800" s="278"/>
      <c r="D800" s="278"/>
      <c r="E800" s="267">
        <v>1322</v>
      </c>
      <c r="F800" s="267"/>
      <c r="G800" s="267">
        <v>23999792</v>
      </c>
      <c r="H800" s="267"/>
      <c r="I800" s="267">
        <v>1623449</v>
      </c>
      <c r="J800" s="267">
        <v>22376343</v>
      </c>
    </row>
    <row r="801" spans="1:10" ht="14.1" customHeight="1" x14ac:dyDescent="0.2">
      <c r="A801" s="278"/>
      <c r="B801" s="261" t="s">
        <v>71</v>
      </c>
      <c r="C801" s="261" t="s">
        <v>72</v>
      </c>
      <c r="D801" s="261" t="s">
        <v>73</v>
      </c>
      <c r="E801" s="284">
        <v>10</v>
      </c>
      <c r="F801" s="284">
        <v>12172</v>
      </c>
      <c r="G801" s="284">
        <v>121724</v>
      </c>
      <c r="H801" s="284">
        <v>1978</v>
      </c>
      <c r="I801" s="284">
        <v>19778</v>
      </c>
      <c r="J801" s="284">
        <v>101946</v>
      </c>
    </row>
    <row r="802" spans="1:10" ht="42.95" customHeight="1" x14ac:dyDescent="0.2">
      <c r="A802" s="278"/>
      <c r="B802" s="265" t="s">
        <v>74</v>
      </c>
      <c r="C802" s="263" t="s">
        <v>245</v>
      </c>
      <c r="D802" s="261" t="s">
        <v>79</v>
      </c>
      <c r="E802" s="285"/>
      <c r="F802" s="285"/>
      <c r="G802" s="285"/>
      <c r="H802" s="285"/>
      <c r="I802" s="285"/>
      <c r="J802" s="285"/>
    </row>
    <row r="803" spans="1:10" ht="42.95" customHeight="1" x14ac:dyDescent="0.2">
      <c r="A803" s="278"/>
      <c r="B803" s="277" t="s">
        <v>246</v>
      </c>
      <c r="C803" s="280" t="s">
        <v>75</v>
      </c>
      <c r="D803" s="261" t="s">
        <v>99</v>
      </c>
      <c r="E803" s="267">
        <v>4</v>
      </c>
      <c r="F803" s="267">
        <v>30330</v>
      </c>
      <c r="G803" s="267">
        <v>121322</v>
      </c>
      <c r="H803" s="267">
        <v>0</v>
      </c>
      <c r="I803" s="267">
        <v>0</v>
      </c>
      <c r="J803" s="267">
        <v>121322</v>
      </c>
    </row>
    <row r="804" spans="1:10" ht="14.1" customHeight="1" x14ac:dyDescent="0.2">
      <c r="A804" s="278"/>
      <c r="B804" s="278"/>
      <c r="C804" s="278"/>
      <c r="D804" s="261" t="s">
        <v>91</v>
      </c>
      <c r="E804" s="267">
        <v>6</v>
      </c>
      <c r="F804" s="267">
        <v>18108</v>
      </c>
      <c r="G804" s="267">
        <v>108647</v>
      </c>
      <c r="H804" s="267">
        <v>0</v>
      </c>
      <c r="I804" s="267">
        <v>0</v>
      </c>
      <c r="J804" s="267">
        <v>108647</v>
      </c>
    </row>
    <row r="805" spans="1:10" ht="14.1" customHeight="1" x14ac:dyDescent="0.2">
      <c r="A805" s="278"/>
      <c r="B805" s="278"/>
      <c r="C805" s="278"/>
      <c r="D805" s="261" t="s">
        <v>97</v>
      </c>
      <c r="E805" s="267">
        <v>1</v>
      </c>
      <c r="F805" s="267">
        <v>11317</v>
      </c>
      <c r="G805" s="267">
        <v>11317</v>
      </c>
      <c r="H805" s="267">
        <v>0</v>
      </c>
      <c r="I805" s="267">
        <v>0</v>
      </c>
      <c r="J805" s="267">
        <v>11317</v>
      </c>
    </row>
    <row r="806" spans="1:10" ht="14.1" customHeight="1" x14ac:dyDescent="0.2">
      <c r="A806" s="278"/>
      <c r="B806" s="278"/>
      <c r="C806" s="278"/>
      <c r="D806" s="261" t="s">
        <v>76</v>
      </c>
      <c r="E806" s="267">
        <v>2</v>
      </c>
      <c r="F806" s="267">
        <v>36385</v>
      </c>
      <c r="G806" s="267">
        <v>72771</v>
      </c>
      <c r="H806" s="267">
        <v>0</v>
      </c>
      <c r="I806" s="267">
        <v>0</v>
      </c>
      <c r="J806" s="267">
        <v>72771</v>
      </c>
    </row>
    <row r="807" spans="1:10" ht="42.95" customHeight="1" x14ac:dyDescent="0.2">
      <c r="A807" s="278"/>
      <c r="B807" s="278"/>
      <c r="C807" s="277" t="s">
        <v>243</v>
      </c>
      <c r="D807" s="261" t="s">
        <v>84</v>
      </c>
      <c r="E807" s="267">
        <v>3</v>
      </c>
      <c r="F807" s="267">
        <v>9165</v>
      </c>
      <c r="G807" s="267">
        <v>27494</v>
      </c>
      <c r="H807" s="267">
        <v>1469</v>
      </c>
      <c r="I807" s="267">
        <v>4408</v>
      </c>
      <c r="J807" s="267">
        <v>23087</v>
      </c>
    </row>
    <row r="808" spans="1:10" ht="14.1" customHeight="1" x14ac:dyDescent="0.2">
      <c r="A808" s="278"/>
      <c r="B808" s="278"/>
      <c r="C808" s="278"/>
      <c r="D808" s="261" t="s">
        <v>78</v>
      </c>
      <c r="E808" s="267">
        <v>32</v>
      </c>
      <c r="F808" s="267">
        <v>37855</v>
      </c>
      <c r="G808" s="267">
        <v>1211345</v>
      </c>
      <c r="H808" s="267">
        <v>1469</v>
      </c>
      <c r="I808" s="267">
        <v>47013</v>
      </c>
      <c r="J808" s="267">
        <v>1164331</v>
      </c>
    </row>
    <row r="809" spans="1:10" ht="14.1" customHeight="1" x14ac:dyDescent="0.2">
      <c r="A809" s="278"/>
      <c r="B809" s="278"/>
      <c r="C809" s="278"/>
      <c r="D809" s="261" t="s">
        <v>152</v>
      </c>
      <c r="E809" s="267">
        <v>2</v>
      </c>
      <c r="F809" s="267">
        <v>28681</v>
      </c>
      <c r="G809" s="267">
        <v>57362</v>
      </c>
      <c r="H809" s="267">
        <v>1469</v>
      </c>
      <c r="I809" s="267">
        <v>2938</v>
      </c>
      <c r="J809" s="267">
        <v>54424</v>
      </c>
    </row>
    <row r="810" spans="1:10" ht="42.95" customHeight="1" x14ac:dyDescent="0.2">
      <c r="A810" s="278"/>
      <c r="B810" s="278"/>
      <c r="C810" s="277" t="s">
        <v>245</v>
      </c>
      <c r="D810" s="261" t="s">
        <v>92</v>
      </c>
      <c r="E810" s="267">
        <v>71</v>
      </c>
      <c r="F810" s="267">
        <v>31120</v>
      </c>
      <c r="G810" s="267">
        <v>2209550</v>
      </c>
      <c r="H810" s="267">
        <v>790</v>
      </c>
      <c r="I810" s="267">
        <v>56089</v>
      </c>
      <c r="J810" s="267">
        <v>2153461</v>
      </c>
    </row>
    <row r="811" spans="1:10" ht="14.1" customHeight="1" x14ac:dyDescent="0.2">
      <c r="A811" s="278"/>
      <c r="B811" s="278"/>
      <c r="C811" s="278"/>
      <c r="D811" s="261" t="s">
        <v>86</v>
      </c>
      <c r="E811" s="267">
        <v>391</v>
      </c>
      <c r="F811" s="267">
        <v>18898</v>
      </c>
      <c r="G811" s="267">
        <v>7389071</v>
      </c>
      <c r="H811" s="267">
        <v>790</v>
      </c>
      <c r="I811" s="267">
        <v>308882</v>
      </c>
      <c r="J811" s="267">
        <v>7080189</v>
      </c>
    </row>
    <row r="812" spans="1:10" ht="14.1" customHeight="1" x14ac:dyDescent="0.2">
      <c r="A812" s="278"/>
      <c r="B812" s="278"/>
      <c r="C812" s="278"/>
      <c r="D812" s="261" t="s">
        <v>87</v>
      </c>
      <c r="E812" s="267">
        <v>25</v>
      </c>
      <c r="F812" s="267">
        <v>12107</v>
      </c>
      <c r="G812" s="267">
        <v>302673</v>
      </c>
      <c r="H812" s="267">
        <v>790</v>
      </c>
      <c r="I812" s="267">
        <v>19750</v>
      </c>
      <c r="J812" s="267">
        <v>282924</v>
      </c>
    </row>
    <row r="813" spans="1:10" ht="14.1" customHeight="1" x14ac:dyDescent="0.2">
      <c r="A813" s="278"/>
      <c r="B813" s="278"/>
      <c r="C813" s="278"/>
      <c r="D813" s="261" t="s">
        <v>84</v>
      </c>
      <c r="E813" s="267">
        <v>85</v>
      </c>
      <c r="F813" s="267">
        <v>8486</v>
      </c>
      <c r="G813" s="267">
        <v>721272</v>
      </c>
      <c r="H813" s="267">
        <v>790</v>
      </c>
      <c r="I813" s="267">
        <v>67148</v>
      </c>
      <c r="J813" s="267">
        <v>654123</v>
      </c>
    </row>
    <row r="814" spans="1:10" ht="14.1" customHeight="1" x14ac:dyDescent="0.2">
      <c r="A814" s="278"/>
      <c r="B814" s="278"/>
      <c r="C814" s="278"/>
      <c r="D814" s="261" t="s">
        <v>78</v>
      </c>
      <c r="E814" s="267">
        <v>155</v>
      </c>
      <c r="F814" s="267">
        <v>37175</v>
      </c>
      <c r="G814" s="267">
        <v>5762177</v>
      </c>
      <c r="H814" s="267">
        <v>790</v>
      </c>
      <c r="I814" s="267">
        <v>122447</v>
      </c>
      <c r="J814" s="267">
        <v>5639730</v>
      </c>
    </row>
    <row r="815" spans="1:10" ht="14.1" customHeight="1" x14ac:dyDescent="0.2">
      <c r="A815" s="278"/>
      <c r="B815" s="278"/>
      <c r="C815" s="278"/>
      <c r="D815" s="261" t="s">
        <v>152</v>
      </c>
      <c r="E815" s="267">
        <v>69</v>
      </c>
      <c r="F815" s="267">
        <v>28002</v>
      </c>
      <c r="G815" s="267">
        <v>1932133</v>
      </c>
      <c r="H815" s="267">
        <v>790</v>
      </c>
      <c r="I815" s="267">
        <v>54509</v>
      </c>
      <c r="J815" s="267">
        <v>1877624</v>
      </c>
    </row>
    <row r="816" spans="1:10" ht="14.1" customHeight="1" x14ac:dyDescent="0.2">
      <c r="A816" s="278"/>
      <c r="B816" s="278"/>
      <c r="C816" s="278"/>
      <c r="D816" s="261" t="s">
        <v>153</v>
      </c>
      <c r="E816" s="267">
        <v>1</v>
      </c>
      <c r="F816" s="267">
        <v>5152</v>
      </c>
      <c r="G816" s="267">
        <v>5152</v>
      </c>
      <c r="H816" s="267">
        <v>790</v>
      </c>
      <c r="I816" s="267">
        <v>790</v>
      </c>
      <c r="J816" s="267">
        <v>4362</v>
      </c>
    </row>
    <row r="817" spans="1:10" ht="42.95" customHeight="1" x14ac:dyDescent="0.2">
      <c r="A817" s="278"/>
      <c r="B817" s="263" t="s">
        <v>247</v>
      </c>
      <c r="C817" s="263" t="s">
        <v>245</v>
      </c>
      <c r="D817" s="261" t="s">
        <v>84</v>
      </c>
      <c r="E817" s="267">
        <v>465</v>
      </c>
      <c r="F817" s="267">
        <v>8486</v>
      </c>
      <c r="G817" s="267">
        <v>3945780</v>
      </c>
      <c r="H817" s="267">
        <v>1978</v>
      </c>
      <c r="I817" s="267">
        <v>919697</v>
      </c>
      <c r="J817" s="267">
        <v>3026084</v>
      </c>
    </row>
    <row r="818" spans="1:10" ht="14.1" customHeight="1" x14ac:dyDescent="0.2">
      <c r="A818" s="278" t="s">
        <v>9</v>
      </c>
      <c r="B818" s="278" t="s">
        <v>60</v>
      </c>
      <c r="C818" s="278"/>
      <c r="D818" s="278"/>
      <c r="E818" s="267">
        <v>214</v>
      </c>
      <c r="F818" s="267"/>
      <c r="G818" s="267">
        <v>8052258</v>
      </c>
      <c r="H818" s="267"/>
      <c r="I818" s="267">
        <v>169735</v>
      </c>
      <c r="J818" s="267">
        <v>7882523</v>
      </c>
    </row>
    <row r="819" spans="1:10" ht="14.1" customHeight="1" x14ac:dyDescent="0.2">
      <c r="A819" s="278"/>
      <c r="B819" s="261" t="s">
        <v>71</v>
      </c>
      <c r="C819" s="261" t="s">
        <v>72</v>
      </c>
      <c r="D819" s="261" t="s">
        <v>73</v>
      </c>
      <c r="E819" s="284">
        <v>1</v>
      </c>
      <c r="F819" s="284">
        <v>37855</v>
      </c>
      <c r="G819" s="284">
        <v>37855</v>
      </c>
      <c r="H819" s="284">
        <v>1469</v>
      </c>
      <c r="I819" s="284">
        <v>1469</v>
      </c>
      <c r="J819" s="284">
        <v>36385</v>
      </c>
    </row>
    <row r="820" spans="1:10" ht="42.95" customHeight="1" x14ac:dyDescent="0.2">
      <c r="A820" s="278"/>
      <c r="B820" s="277" t="s">
        <v>246</v>
      </c>
      <c r="C820" s="263" t="s">
        <v>243</v>
      </c>
      <c r="D820" s="261" t="s">
        <v>78</v>
      </c>
      <c r="E820" s="285"/>
      <c r="F820" s="285"/>
      <c r="G820" s="285"/>
      <c r="H820" s="285"/>
      <c r="I820" s="285"/>
      <c r="J820" s="285"/>
    </row>
    <row r="821" spans="1:10" ht="42.95" customHeight="1" x14ac:dyDescent="0.2">
      <c r="A821" s="278"/>
      <c r="B821" s="278"/>
      <c r="C821" s="277" t="s">
        <v>245</v>
      </c>
      <c r="D821" s="261" t="s">
        <v>96</v>
      </c>
      <c r="E821" s="267">
        <v>1</v>
      </c>
      <c r="F821" s="267">
        <v>4186</v>
      </c>
      <c r="G821" s="267">
        <v>4186</v>
      </c>
      <c r="H821" s="267">
        <v>790</v>
      </c>
      <c r="I821" s="267">
        <v>790</v>
      </c>
      <c r="J821" s="267">
        <v>3396</v>
      </c>
    </row>
    <row r="822" spans="1:10" ht="14.1" customHeight="1" x14ac:dyDescent="0.2">
      <c r="A822" s="278"/>
      <c r="B822" s="278"/>
      <c r="C822" s="278"/>
      <c r="D822" s="261" t="s">
        <v>78</v>
      </c>
      <c r="E822" s="267">
        <v>212</v>
      </c>
      <c r="F822" s="267">
        <v>37784</v>
      </c>
      <c r="G822" s="267">
        <v>8010218</v>
      </c>
      <c r="H822" s="267">
        <v>790</v>
      </c>
      <c r="I822" s="267">
        <v>167476</v>
      </c>
      <c r="J822" s="267">
        <v>7842742</v>
      </c>
    </row>
    <row r="823" spans="1:10" ht="29.1" customHeight="1" x14ac:dyDescent="0.2">
      <c r="A823" s="277" t="s">
        <v>256</v>
      </c>
      <c r="B823" s="278" t="s">
        <v>60</v>
      </c>
      <c r="C823" s="278"/>
      <c r="D823" s="278"/>
      <c r="E823" s="267">
        <v>38290</v>
      </c>
      <c r="F823" s="267"/>
      <c r="G823" s="267">
        <v>515785130</v>
      </c>
      <c r="H823" s="267"/>
      <c r="I823" s="267">
        <v>58950192</v>
      </c>
      <c r="J823" s="267">
        <v>456834938</v>
      </c>
    </row>
    <row r="824" spans="1:10" ht="14.1" customHeight="1" x14ac:dyDescent="0.2">
      <c r="A824" s="278"/>
      <c r="B824" s="261" t="s">
        <v>71</v>
      </c>
      <c r="C824" s="261" t="s">
        <v>72</v>
      </c>
      <c r="D824" s="261" t="s">
        <v>73</v>
      </c>
      <c r="E824" s="284">
        <v>5</v>
      </c>
      <c r="F824" s="284">
        <v>11382</v>
      </c>
      <c r="G824" s="284">
        <v>56912</v>
      </c>
      <c r="H824" s="284">
        <v>0</v>
      </c>
      <c r="I824" s="284">
        <v>0</v>
      </c>
      <c r="J824" s="284">
        <v>56912</v>
      </c>
    </row>
    <row r="825" spans="1:10" ht="14.1" customHeight="1" x14ac:dyDescent="0.2">
      <c r="A825" s="278"/>
      <c r="B825" s="279" t="s">
        <v>74</v>
      </c>
      <c r="C825" s="262" t="s">
        <v>75</v>
      </c>
      <c r="D825" s="261" t="s">
        <v>77</v>
      </c>
      <c r="E825" s="285"/>
      <c r="F825" s="285"/>
      <c r="G825" s="285"/>
      <c r="H825" s="285"/>
      <c r="I825" s="285"/>
      <c r="J825" s="285"/>
    </row>
    <row r="826" spans="1:10" ht="42.95" customHeight="1" x14ac:dyDescent="0.2">
      <c r="A826" s="278"/>
      <c r="B826" s="278"/>
      <c r="C826" s="263" t="s">
        <v>243</v>
      </c>
      <c r="D826" s="261" t="s">
        <v>79</v>
      </c>
      <c r="E826" s="267">
        <v>3</v>
      </c>
      <c r="F826" s="267">
        <v>12852</v>
      </c>
      <c r="G826" s="267">
        <v>38555</v>
      </c>
      <c r="H826" s="267">
        <v>2657</v>
      </c>
      <c r="I826" s="267">
        <v>7971</v>
      </c>
      <c r="J826" s="267">
        <v>30584</v>
      </c>
    </row>
    <row r="827" spans="1:10" ht="42.95" customHeight="1" x14ac:dyDescent="0.2">
      <c r="A827" s="278"/>
      <c r="B827" s="278"/>
      <c r="C827" s="263" t="s">
        <v>245</v>
      </c>
      <c r="D827" s="261" t="s">
        <v>79</v>
      </c>
      <c r="E827" s="267">
        <v>3425</v>
      </c>
      <c r="F827" s="267">
        <v>12172</v>
      </c>
      <c r="G827" s="267">
        <v>41690631</v>
      </c>
      <c r="H827" s="267">
        <v>1978</v>
      </c>
      <c r="I827" s="267">
        <v>6774109</v>
      </c>
      <c r="J827" s="267">
        <v>34916522</v>
      </c>
    </row>
    <row r="828" spans="1:10" ht="42.95" customHeight="1" x14ac:dyDescent="0.2">
      <c r="A828" s="278"/>
      <c r="B828" s="279" t="s">
        <v>89</v>
      </c>
      <c r="C828" s="277" t="s">
        <v>243</v>
      </c>
      <c r="D828" s="261" t="s">
        <v>84</v>
      </c>
      <c r="E828" s="267">
        <v>10</v>
      </c>
      <c r="F828" s="267">
        <v>9165</v>
      </c>
      <c r="G828" s="267">
        <v>91647</v>
      </c>
      <c r="H828" s="267">
        <v>2296</v>
      </c>
      <c r="I828" s="267">
        <v>22962</v>
      </c>
      <c r="J828" s="267">
        <v>68685</v>
      </c>
    </row>
    <row r="829" spans="1:10" ht="14.1" customHeight="1" x14ac:dyDescent="0.2">
      <c r="A829" s="278"/>
      <c r="B829" s="278"/>
      <c r="C829" s="278"/>
      <c r="D829" s="261" t="s">
        <v>105</v>
      </c>
      <c r="E829" s="267">
        <v>211</v>
      </c>
      <c r="F829" s="267">
        <v>9435</v>
      </c>
      <c r="G829" s="267">
        <v>1990881</v>
      </c>
      <c r="H829" s="267">
        <v>2567</v>
      </c>
      <c r="I829" s="267">
        <v>541620</v>
      </c>
      <c r="J829" s="267">
        <v>1449260</v>
      </c>
    </row>
    <row r="830" spans="1:10" ht="42.95" customHeight="1" x14ac:dyDescent="0.2">
      <c r="A830" s="278"/>
      <c r="B830" s="278"/>
      <c r="C830" s="277" t="s">
        <v>245</v>
      </c>
      <c r="D830" s="261" t="s">
        <v>94</v>
      </c>
      <c r="E830" s="267">
        <v>3</v>
      </c>
      <c r="F830" s="267">
        <v>0</v>
      </c>
      <c r="G830" s="267">
        <v>0</v>
      </c>
      <c r="H830" s="267">
        <v>0</v>
      </c>
      <c r="I830" s="267">
        <v>0</v>
      </c>
      <c r="J830" s="267">
        <v>0</v>
      </c>
    </row>
    <row r="831" spans="1:10" ht="14.1" customHeight="1" x14ac:dyDescent="0.2">
      <c r="A831" s="278"/>
      <c r="B831" s="278"/>
      <c r="C831" s="278"/>
      <c r="D831" s="261" t="s">
        <v>84</v>
      </c>
      <c r="E831" s="267">
        <v>1924</v>
      </c>
      <c r="F831" s="267">
        <v>8486</v>
      </c>
      <c r="G831" s="267">
        <v>16326197</v>
      </c>
      <c r="H831" s="267">
        <v>1617</v>
      </c>
      <c r="I831" s="267">
        <v>3111141</v>
      </c>
      <c r="J831" s="267">
        <v>13215055</v>
      </c>
    </row>
    <row r="832" spans="1:10" ht="14.1" customHeight="1" x14ac:dyDescent="0.2">
      <c r="A832" s="278"/>
      <c r="B832" s="278"/>
      <c r="C832" s="278"/>
      <c r="D832" s="261" t="s">
        <v>90</v>
      </c>
      <c r="E832" s="267">
        <v>1</v>
      </c>
      <c r="F832" s="267">
        <v>7696</v>
      </c>
      <c r="G832" s="267">
        <v>7696</v>
      </c>
      <c r="H832" s="267">
        <v>827</v>
      </c>
      <c r="I832" s="267">
        <v>827</v>
      </c>
      <c r="J832" s="267">
        <v>6869</v>
      </c>
    </row>
    <row r="833" spans="1:10" ht="14.1" customHeight="1" x14ac:dyDescent="0.2">
      <c r="A833" s="278"/>
      <c r="B833" s="278"/>
      <c r="C833" s="278"/>
      <c r="D833" s="261" t="s">
        <v>105</v>
      </c>
      <c r="E833" s="267">
        <v>2548</v>
      </c>
      <c r="F833" s="267">
        <v>8756</v>
      </c>
      <c r="G833" s="267">
        <v>22310956</v>
      </c>
      <c r="H833" s="267">
        <v>1888</v>
      </c>
      <c r="I833" s="267">
        <v>4809937</v>
      </c>
      <c r="J833" s="267">
        <v>17501019</v>
      </c>
    </row>
    <row r="834" spans="1:10" ht="14.1" customHeight="1" x14ac:dyDescent="0.2">
      <c r="A834" s="278"/>
      <c r="B834" s="278"/>
      <c r="C834" s="278"/>
      <c r="D834" s="261" t="s">
        <v>95</v>
      </c>
      <c r="E834" s="267">
        <v>1</v>
      </c>
      <c r="F834" s="267">
        <v>7966</v>
      </c>
      <c r="G834" s="267">
        <v>7966</v>
      </c>
      <c r="H834" s="267">
        <v>1098</v>
      </c>
      <c r="I834" s="267">
        <v>1098</v>
      </c>
      <c r="J834" s="267">
        <v>6869</v>
      </c>
    </row>
    <row r="835" spans="1:10" ht="14.1" customHeight="1" x14ac:dyDescent="0.2">
      <c r="A835" s="278"/>
      <c r="B835" s="279" t="s">
        <v>80</v>
      </c>
      <c r="C835" s="280" t="s">
        <v>75</v>
      </c>
      <c r="D835" s="261" t="s">
        <v>81</v>
      </c>
      <c r="E835" s="267">
        <v>39</v>
      </c>
      <c r="F835" s="267">
        <v>22977</v>
      </c>
      <c r="G835" s="267">
        <v>896090</v>
      </c>
      <c r="H835" s="267">
        <v>3812</v>
      </c>
      <c r="I835" s="267">
        <v>148651</v>
      </c>
      <c r="J835" s="267">
        <v>747439</v>
      </c>
    </row>
    <row r="836" spans="1:10" ht="14.1" customHeight="1" x14ac:dyDescent="0.2">
      <c r="A836" s="278"/>
      <c r="B836" s="278"/>
      <c r="C836" s="278"/>
      <c r="D836" s="261" t="s">
        <v>82</v>
      </c>
      <c r="E836" s="267">
        <v>403</v>
      </c>
      <c r="F836" s="267">
        <v>19789</v>
      </c>
      <c r="G836" s="267">
        <v>7975039</v>
      </c>
      <c r="H836" s="267">
        <v>3812</v>
      </c>
      <c r="I836" s="267">
        <v>1536062</v>
      </c>
      <c r="J836" s="267">
        <v>6438978</v>
      </c>
    </row>
    <row r="837" spans="1:10" ht="42.95" customHeight="1" x14ac:dyDescent="0.2">
      <c r="A837" s="278"/>
      <c r="B837" s="277" t="s">
        <v>246</v>
      </c>
      <c r="C837" s="280" t="s">
        <v>75</v>
      </c>
      <c r="D837" s="261" t="s">
        <v>99</v>
      </c>
      <c r="E837" s="267">
        <v>8</v>
      </c>
      <c r="F837" s="267">
        <v>30330</v>
      </c>
      <c r="G837" s="267">
        <v>242644</v>
      </c>
      <c r="H837" s="267">
        <v>0</v>
      </c>
      <c r="I837" s="267">
        <v>0</v>
      </c>
      <c r="J837" s="267">
        <v>242644</v>
      </c>
    </row>
    <row r="838" spans="1:10" ht="14.1" customHeight="1" x14ac:dyDescent="0.2">
      <c r="A838" s="278"/>
      <c r="B838" s="278"/>
      <c r="C838" s="278"/>
      <c r="D838" s="261" t="s">
        <v>91</v>
      </c>
      <c r="E838" s="267">
        <v>12</v>
      </c>
      <c r="F838" s="267">
        <v>18108</v>
      </c>
      <c r="G838" s="267">
        <v>217295</v>
      </c>
      <c r="H838" s="267">
        <v>0</v>
      </c>
      <c r="I838" s="267">
        <v>0</v>
      </c>
      <c r="J838" s="267">
        <v>217295</v>
      </c>
    </row>
    <row r="839" spans="1:10" ht="14.1" customHeight="1" x14ac:dyDescent="0.2">
      <c r="A839" s="278"/>
      <c r="B839" s="278"/>
      <c r="C839" s="278"/>
      <c r="D839" s="261" t="s">
        <v>90</v>
      </c>
      <c r="E839" s="267">
        <v>131</v>
      </c>
      <c r="F839" s="267">
        <v>7696</v>
      </c>
      <c r="G839" s="267">
        <v>1008119</v>
      </c>
      <c r="H839" s="267">
        <v>0</v>
      </c>
      <c r="I839" s="267">
        <v>0</v>
      </c>
      <c r="J839" s="267">
        <v>1008119</v>
      </c>
    </row>
    <row r="840" spans="1:10" ht="14.1" customHeight="1" x14ac:dyDescent="0.2">
      <c r="A840" s="278"/>
      <c r="B840" s="278"/>
      <c r="C840" s="278"/>
      <c r="D840" s="261" t="s">
        <v>98</v>
      </c>
      <c r="E840" s="267">
        <v>1</v>
      </c>
      <c r="F840" s="267">
        <v>2717</v>
      </c>
      <c r="G840" s="267">
        <v>2717</v>
      </c>
      <c r="H840" s="267">
        <v>0</v>
      </c>
      <c r="I840" s="267">
        <v>0</v>
      </c>
      <c r="J840" s="267">
        <v>2717</v>
      </c>
    </row>
    <row r="841" spans="1:10" ht="14.1" customHeight="1" x14ac:dyDescent="0.2">
      <c r="A841" s="278"/>
      <c r="B841" s="278"/>
      <c r="C841" s="278"/>
      <c r="D841" s="261" t="s">
        <v>76</v>
      </c>
      <c r="E841" s="267">
        <v>21</v>
      </c>
      <c r="F841" s="267">
        <v>36385</v>
      </c>
      <c r="G841" s="267">
        <v>764092</v>
      </c>
      <c r="H841" s="267">
        <v>0</v>
      </c>
      <c r="I841" s="267">
        <v>0</v>
      </c>
      <c r="J841" s="267">
        <v>764092</v>
      </c>
    </row>
    <row r="842" spans="1:10" ht="14.1" customHeight="1" x14ac:dyDescent="0.2">
      <c r="A842" s="278"/>
      <c r="B842" s="278"/>
      <c r="C842" s="278"/>
      <c r="D842" s="261" t="s">
        <v>151</v>
      </c>
      <c r="E842" s="267">
        <v>12</v>
      </c>
      <c r="F842" s="267">
        <v>5752</v>
      </c>
      <c r="G842" s="267">
        <v>69029</v>
      </c>
      <c r="H842" s="267">
        <v>0</v>
      </c>
      <c r="I842" s="267">
        <v>0</v>
      </c>
      <c r="J842" s="267">
        <v>69029</v>
      </c>
    </row>
    <row r="843" spans="1:10" ht="42.95" customHeight="1" x14ac:dyDescent="0.2">
      <c r="A843" s="278"/>
      <c r="B843" s="278"/>
      <c r="C843" s="277" t="s">
        <v>243</v>
      </c>
      <c r="D843" s="261" t="s">
        <v>83</v>
      </c>
      <c r="E843" s="267">
        <v>17</v>
      </c>
      <c r="F843" s="267">
        <v>3452</v>
      </c>
      <c r="G843" s="267">
        <v>58681</v>
      </c>
      <c r="H843" s="267">
        <v>1469</v>
      </c>
      <c r="I843" s="267">
        <v>24976</v>
      </c>
      <c r="J843" s="267">
        <v>33705</v>
      </c>
    </row>
    <row r="844" spans="1:10" ht="14.1" customHeight="1" x14ac:dyDescent="0.2">
      <c r="A844" s="278"/>
      <c r="B844" s="278"/>
      <c r="C844" s="278"/>
      <c r="D844" s="261" t="s">
        <v>92</v>
      </c>
      <c r="E844" s="267">
        <v>5</v>
      </c>
      <c r="F844" s="267">
        <v>31800</v>
      </c>
      <c r="G844" s="267">
        <v>158998</v>
      </c>
      <c r="H844" s="267">
        <v>1469</v>
      </c>
      <c r="I844" s="267">
        <v>7346</v>
      </c>
      <c r="J844" s="267">
        <v>151652</v>
      </c>
    </row>
    <row r="845" spans="1:10" ht="14.1" customHeight="1" x14ac:dyDescent="0.2">
      <c r="A845" s="278"/>
      <c r="B845" s="278"/>
      <c r="C845" s="278"/>
      <c r="D845" s="261" t="s">
        <v>86</v>
      </c>
      <c r="E845" s="267">
        <v>7</v>
      </c>
      <c r="F845" s="267">
        <v>19577</v>
      </c>
      <c r="G845" s="267">
        <v>137039</v>
      </c>
      <c r="H845" s="267">
        <v>1469</v>
      </c>
      <c r="I845" s="267">
        <v>10284</v>
      </c>
      <c r="J845" s="267">
        <v>126755</v>
      </c>
    </row>
    <row r="846" spans="1:10" ht="14.1" customHeight="1" x14ac:dyDescent="0.2">
      <c r="A846" s="278"/>
      <c r="B846" s="278"/>
      <c r="C846" s="278"/>
      <c r="D846" s="261" t="s">
        <v>87</v>
      </c>
      <c r="E846" s="267">
        <v>1</v>
      </c>
      <c r="F846" s="267">
        <v>12786</v>
      </c>
      <c r="G846" s="267">
        <v>12786</v>
      </c>
      <c r="H846" s="267">
        <v>1469</v>
      </c>
      <c r="I846" s="267">
        <v>1469</v>
      </c>
      <c r="J846" s="267">
        <v>11317</v>
      </c>
    </row>
    <row r="847" spans="1:10" ht="14.1" customHeight="1" x14ac:dyDescent="0.2">
      <c r="A847" s="278"/>
      <c r="B847" s="278"/>
      <c r="C847" s="278"/>
      <c r="D847" s="261" t="s">
        <v>84</v>
      </c>
      <c r="E847" s="267">
        <v>34</v>
      </c>
      <c r="F847" s="267">
        <v>9165</v>
      </c>
      <c r="G847" s="267">
        <v>311601</v>
      </c>
      <c r="H847" s="267">
        <v>1469</v>
      </c>
      <c r="I847" s="267">
        <v>49952</v>
      </c>
      <c r="J847" s="267">
        <v>261649</v>
      </c>
    </row>
    <row r="848" spans="1:10" ht="14.1" customHeight="1" x14ac:dyDescent="0.2">
      <c r="A848" s="278"/>
      <c r="B848" s="278"/>
      <c r="C848" s="278"/>
      <c r="D848" s="261" t="s">
        <v>78</v>
      </c>
      <c r="E848" s="267">
        <v>10</v>
      </c>
      <c r="F848" s="267">
        <v>37855</v>
      </c>
      <c r="G848" s="267">
        <v>378545</v>
      </c>
      <c r="H848" s="267">
        <v>1469</v>
      </c>
      <c r="I848" s="267">
        <v>14692</v>
      </c>
      <c r="J848" s="267">
        <v>363854</v>
      </c>
    </row>
    <row r="849" spans="1:10" ht="14.1" customHeight="1" x14ac:dyDescent="0.2">
      <c r="A849" s="278"/>
      <c r="B849" s="278"/>
      <c r="C849" s="278"/>
      <c r="D849" s="261" t="s">
        <v>153</v>
      </c>
      <c r="E849" s="267">
        <v>7</v>
      </c>
      <c r="F849" s="267">
        <v>5831</v>
      </c>
      <c r="G849" s="267">
        <v>40820</v>
      </c>
      <c r="H849" s="267">
        <v>1469</v>
      </c>
      <c r="I849" s="267">
        <v>10284</v>
      </c>
      <c r="J849" s="267">
        <v>30536</v>
      </c>
    </row>
    <row r="850" spans="1:10" ht="42.95" customHeight="1" x14ac:dyDescent="0.2">
      <c r="A850" s="278"/>
      <c r="B850" s="278"/>
      <c r="C850" s="277" t="s">
        <v>244</v>
      </c>
      <c r="D850" s="261" t="s">
        <v>83</v>
      </c>
      <c r="E850" s="267">
        <v>1</v>
      </c>
      <c r="F850" s="267">
        <v>3224</v>
      </c>
      <c r="G850" s="267">
        <v>3224</v>
      </c>
      <c r="H850" s="267">
        <v>1242</v>
      </c>
      <c r="I850" s="267">
        <v>1242</v>
      </c>
      <c r="J850" s="267">
        <v>1983</v>
      </c>
    </row>
    <row r="851" spans="1:10" ht="14.1" customHeight="1" x14ac:dyDescent="0.2">
      <c r="A851" s="278"/>
      <c r="B851" s="278"/>
      <c r="C851" s="278"/>
      <c r="D851" s="261" t="s">
        <v>153</v>
      </c>
      <c r="E851" s="267">
        <v>42</v>
      </c>
      <c r="F851" s="267">
        <v>5572</v>
      </c>
      <c r="G851" s="267">
        <v>234014</v>
      </c>
      <c r="H851" s="267">
        <v>1242</v>
      </c>
      <c r="I851" s="267">
        <v>52156</v>
      </c>
      <c r="J851" s="267">
        <v>181858</v>
      </c>
    </row>
    <row r="852" spans="1:10" ht="42.95" customHeight="1" x14ac:dyDescent="0.2">
      <c r="A852" s="278"/>
      <c r="B852" s="278"/>
      <c r="C852" s="277" t="s">
        <v>245</v>
      </c>
      <c r="D852" s="261" t="s">
        <v>83</v>
      </c>
      <c r="E852" s="267">
        <v>772</v>
      </c>
      <c r="F852" s="267">
        <v>2773</v>
      </c>
      <c r="G852" s="267">
        <v>2140478</v>
      </c>
      <c r="H852" s="267">
        <v>790</v>
      </c>
      <c r="I852" s="267">
        <v>609865</v>
      </c>
      <c r="J852" s="267">
        <v>1530613</v>
      </c>
    </row>
    <row r="853" spans="1:10" ht="14.1" customHeight="1" x14ac:dyDescent="0.2">
      <c r="A853" s="278"/>
      <c r="B853" s="278"/>
      <c r="C853" s="278"/>
      <c r="D853" s="261" t="s">
        <v>92</v>
      </c>
      <c r="E853" s="267">
        <v>1119</v>
      </c>
      <c r="F853" s="267">
        <v>31120</v>
      </c>
      <c r="G853" s="267">
        <v>34823754</v>
      </c>
      <c r="H853" s="267">
        <v>790</v>
      </c>
      <c r="I853" s="267">
        <v>883988</v>
      </c>
      <c r="J853" s="267">
        <v>33939766</v>
      </c>
    </row>
    <row r="854" spans="1:10" ht="14.1" customHeight="1" x14ac:dyDescent="0.2">
      <c r="A854" s="278"/>
      <c r="B854" s="278"/>
      <c r="C854" s="278"/>
      <c r="D854" s="261" t="s">
        <v>86</v>
      </c>
      <c r="E854" s="267">
        <v>3225</v>
      </c>
      <c r="F854" s="267">
        <v>18898</v>
      </c>
      <c r="G854" s="267">
        <v>60945665</v>
      </c>
      <c r="H854" s="267">
        <v>790</v>
      </c>
      <c r="I854" s="267">
        <v>2547688</v>
      </c>
      <c r="J854" s="267">
        <v>58397977</v>
      </c>
    </row>
    <row r="855" spans="1:10" ht="14.1" customHeight="1" x14ac:dyDescent="0.2">
      <c r="A855" s="278"/>
      <c r="B855" s="278"/>
      <c r="C855" s="278"/>
      <c r="D855" s="261" t="s">
        <v>87</v>
      </c>
      <c r="E855" s="267">
        <v>329</v>
      </c>
      <c r="F855" s="267">
        <v>12107</v>
      </c>
      <c r="G855" s="267">
        <v>3983182</v>
      </c>
      <c r="H855" s="267">
        <v>790</v>
      </c>
      <c r="I855" s="267">
        <v>259904</v>
      </c>
      <c r="J855" s="267">
        <v>3723278</v>
      </c>
    </row>
    <row r="856" spans="1:10" ht="14.1" customHeight="1" x14ac:dyDescent="0.2">
      <c r="A856" s="278"/>
      <c r="B856" s="278"/>
      <c r="C856" s="278"/>
      <c r="D856" s="261" t="s">
        <v>84</v>
      </c>
      <c r="E856" s="267">
        <v>3473</v>
      </c>
      <c r="F856" s="267">
        <v>8486</v>
      </c>
      <c r="G856" s="267">
        <v>29470312</v>
      </c>
      <c r="H856" s="267">
        <v>790</v>
      </c>
      <c r="I856" s="267">
        <v>2743603</v>
      </c>
      <c r="J856" s="267">
        <v>26726709</v>
      </c>
    </row>
    <row r="857" spans="1:10" ht="14.1" customHeight="1" x14ac:dyDescent="0.2">
      <c r="A857" s="278"/>
      <c r="B857" s="278"/>
      <c r="C857" s="278"/>
      <c r="D857" s="261" t="s">
        <v>85</v>
      </c>
      <c r="E857" s="267">
        <v>14</v>
      </c>
      <c r="F857" s="267">
        <v>5771</v>
      </c>
      <c r="G857" s="267">
        <v>80790</v>
      </c>
      <c r="H857" s="267">
        <v>790</v>
      </c>
      <c r="I857" s="267">
        <v>11060</v>
      </c>
      <c r="J857" s="267">
        <v>69730</v>
      </c>
    </row>
    <row r="858" spans="1:10" ht="14.1" customHeight="1" x14ac:dyDescent="0.2">
      <c r="A858" s="278"/>
      <c r="B858" s="278"/>
      <c r="C858" s="278"/>
      <c r="D858" s="261" t="s">
        <v>96</v>
      </c>
      <c r="E858" s="267">
        <v>33</v>
      </c>
      <c r="F858" s="267">
        <v>3507</v>
      </c>
      <c r="G858" s="267">
        <v>115723</v>
      </c>
      <c r="H858" s="267">
        <v>790</v>
      </c>
      <c r="I858" s="267">
        <v>26069</v>
      </c>
      <c r="J858" s="267">
        <v>89653</v>
      </c>
    </row>
    <row r="859" spans="1:10" ht="14.1" customHeight="1" x14ac:dyDescent="0.2">
      <c r="A859" s="278"/>
      <c r="B859" s="278"/>
      <c r="C859" s="278"/>
      <c r="D859" s="261" t="s">
        <v>88</v>
      </c>
      <c r="E859" s="267">
        <v>13</v>
      </c>
      <c r="F859" s="267">
        <v>2149</v>
      </c>
      <c r="G859" s="267">
        <v>27941</v>
      </c>
      <c r="H859" s="267">
        <v>790</v>
      </c>
      <c r="I859" s="267">
        <v>10270</v>
      </c>
      <c r="J859" s="267">
        <v>17671</v>
      </c>
    </row>
    <row r="860" spans="1:10" ht="14.1" customHeight="1" x14ac:dyDescent="0.2">
      <c r="A860" s="278"/>
      <c r="B860" s="278"/>
      <c r="C860" s="278"/>
      <c r="D860" s="261" t="s">
        <v>106</v>
      </c>
      <c r="E860" s="267">
        <v>1</v>
      </c>
      <c r="F860" s="267">
        <v>1401</v>
      </c>
      <c r="G860" s="267">
        <v>1401</v>
      </c>
      <c r="H860" s="267">
        <v>790</v>
      </c>
      <c r="I860" s="267">
        <v>790</v>
      </c>
      <c r="J860" s="267">
        <v>611</v>
      </c>
    </row>
    <row r="861" spans="1:10" ht="14.1" customHeight="1" x14ac:dyDescent="0.2">
      <c r="A861" s="278"/>
      <c r="B861" s="278"/>
      <c r="C861" s="278"/>
      <c r="D861" s="261" t="s">
        <v>78</v>
      </c>
      <c r="E861" s="267">
        <v>2586</v>
      </c>
      <c r="F861" s="267">
        <v>37175</v>
      </c>
      <c r="G861" s="267">
        <v>96135422</v>
      </c>
      <c r="H861" s="267">
        <v>790</v>
      </c>
      <c r="I861" s="267">
        <v>2042890</v>
      </c>
      <c r="J861" s="267">
        <v>94092532</v>
      </c>
    </row>
    <row r="862" spans="1:10" ht="14.1" customHeight="1" x14ac:dyDescent="0.2">
      <c r="A862" s="278"/>
      <c r="B862" s="278"/>
      <c r="C862" s="278"/>
      <c r="D862" s="261" t="s">
        <v>152</v>
      </c>
      <c r="E862" s="267">
        <v>4</v>
      </c>
      <c r="F862" s="267">
        <v>28002</v>
      </c>
      <c r="G862" s="267">
        <v>112008</v>
      </c>
      <c r="H862" s="267">
        <v>790</v>
      </c>
      <c r="I862" s="267">
        <v>3160</v>
      </c>
      <c r="J862" s="267">
        <v>108848</v>
      </c>
    </row>
    <row r="863" spans="1:10" ht="14.1" customHeight="1" x14ac:dyDescent="0.2">
      <c r="A863" s="278"/>
      <c r="B863" s="278"/>
      <c r="C863" s="278"/>
      <c r="D863" s="261" t="s">
        <v>153</v>
      </c>
      <c r="E863" s="267">
        <v>957</v>
      </c>
      <c r="F863" s="267">
        <v>5152</v>
      </c>
      <c r="G863" s="267">
        <v>4930671</v>
      </c>
      <c r="H863" s="267">
        <v>790</v>
      </c>
      <c r="I863" s="267">
        <v>756012</v>
      </c>
      <c r="J863" s="267">
        <v>4174659</v>
      </c>
    </row>
    <row r="864" spans="1:10" ht="14.1" customHeight="1" x14ac:dyDescent="0.2">
      <c r="A864" s="278"/>
      <c r="B864" s="278"/>
      <c r="C864" s="278"/>
      <c r="D864" s="261" t="s">
        <v>154</v>
      </c>
      <c r="E864" s="267">
        <v>1026</v>
      </c>
      <c r="F864" s="267">
        <v>6542</v>
      </c>
      <c r="G864" s="267">
        <v>6712491</v>
      </c>
      <c r="H864" s="267">
        <v>790</v>
      </c>
      <c r="I864" s="267">
        <v>810520</v>
      </c>
      <c r="J864" s="267">
        <v>5901971</v>
      </c>
    </row>
    <row r="865" spans="1:10" ht="29.1" customHeight="1" x14ac:dyDescent="0.2">
      <c r="A865" s="278"/>
      <c r="B865" s="277" t="s">
        <v>247</v>
      </c>
      <c r="C865" s="280" t="s">
        <v>75</v>
      </c>
      <c r="D865" s="261" t="s">
        <v>91</v>
      </c>
      <c r="E865" s="267">
        <v>1</v>
      </c>
      <c r="F865" s="267">
        <v>18108</v>
      </c>
      <c r="G865" s="267">
        <v>18108</v>
      </c>
      <c r="H865" s="267">
        <v>1188</v>
      </c>
      <c r="I865" s="267">
        <v>1188</v>
      </c>
      <c r="J865" s="267">
        <v>16920</v>
      </c>
    </row>
    <row r="866" spans="1:10" ht="14.1" customHeight="1" x14ac:dyDescent="0.2">
      <c r="A866" s="278"/>
      <c r="B866" s="278"/>
      <c r="C866" s="278"/>
      <c r="D866" s="261" t="s">
        <v>90</v>
      </c>
      <c r="E866" s="267">
        <v>409</v>
      </c>
      <c r="F866" s="267">
        <v>7696</v>
      </c>
      <c r="G866" s="267">
        <v>3147487</v>
      </c>
      <c r="H866" s="267">
        <v>1188</v>
      </c>
      <c r="I866" s="267">
        <v>485835</v>
      </c>
      <c r="J866" s="267">
        <v>2661652</v>
      </c>
    </row>
    <row r="867" spans="1:10" ht="42.95" customHeight="1" x14ac:dyDescent="0.2">
      <c r="A867" s="278"/>
      <c r="B867" s="278"/>
      <c r="C867" s="263" t="s">
        <v>243</v>
      </c>
      <c r="D867" s="261" t="s">
        <v>84</v>
      </c>
      <c r="E867" s="267">
        <v>119</v>
      </c>
      <c r="F867" s="267">
        <v>9165</v>
      </c>
      <c r="G867" s="267">
        <v>1090604</v>
      </c>
      <c r="H867" s="267">
        <v>2657</v>
      </c>
      <c r="I867" s="267">
        <v>316187</v>
      </c>
      <c r="J867" s="267">
        <v>774417</v>
      </c>
    </row>
    <row r="868" spans="1:10" ht="42.95" customHeight="1" x14ac:dyDescent="0.2">
      <c r="A868" s="278"/>
      <c r="B868" s="278"/>
      <c r="C868" s="277" t="s">
        <v>245</v>
      </c>
      <c r="D868" s="261" t="s">
        <v>92</v>
      </c>
      <c r="E868" s="267">
        <v>546</v>
      </c>
      <c r="F868" s="267">
        <v>31120</v>
      </c>
      <c r="G868" s="267">
        <v>16991751</v>
      </c>
      <c r="H868" s="267">
        <v>1978</v>
      </c>
      <c r="I868" s="267">
        <v>1079902</v>
      </c>
      <c r="J868" s="267">
        <v>15911850</v>
      </c>
    </row>
    <row r="869" spans="1:10" ht="14.1" customHeight="1" x14ac:dyDescent="0.2">
      <c r="A869" s="278"/>
      <c r="B869" s="278"/>
      <c r="C869" s="278"/>
      <c r="D869" s="261" t="s">
        <v>86</v>
      </c>
      <c r="E869" s="267">
        <v>2168</v>
      </c>
      <c r="F869" s="267">
        <v>18898</v>
      </c>
      <c r="G869" s="267">
        <v>40970605</v>
      </c>
      <c r="H869" s="267">
        <v>1978</v>
      </c>
      <c r="I869" s="267">
        <v>4287961</v>
      </c>
      <c r="J869" s="267">
        <v>36682644</v>
      </c>
    </row>
    <row r="870" spans="1:10" ht="14.1" customHeight="1" x14ac:dyDescent="0.2">
      <c r="A870" s="278"/>
      <c r="B870" s="278"/>
      <c r="C870" s="278"/>
      <c r="D870" s="261" t="s">
        <v>87</v>
      </c>
      <c r="E870" s="267">
        <v>4716</v>
      </c>
      <c r="F870" s="267">
        <v>12107</v>
      </c>
      <c r="G870" s="267">
        <v>57096312</v>
      </c>
      <c r="H870" s="267">
        <v>1978</v>
      </c>
      <c r="I870" s="267">
        <v>9327503</v>
      </c>
      <c r="J870" s="267">
        <v>47768809</v>
      </c>
    </row>
    <row r="871" spans="1:10" ht="14.1" customHeight="1" x14ac:dyDescent="0.2">
      <c r="A871" s="278"/>
      <c r="B871" s="278"/>
      <c r="C871" s="278"/>
      <c r="D871" s="261" t="s">
        <v>84</v>
      </c>
      <c r="E871" s="267">
        <v>6940</v>
      </c>
      <c r="F871" s="267">
        <v>8486</v>
      </c>
      <c r="G871" s="267">
        <v>58889711</v>
      </c>
      <c r="H871" s="267">
        <v>1978</v>
      </c>
      <c r="I871" s="267">
        <v>13726224</v>
      </c>
      <c r="J871" s="267">
        <v>45163487</v>
      </c>
    </row>
    <row r="872" spans="1:10" ht="14.1" customHeight="1" x14ac:dyDescent="0.2">
      <c r="A872" s="278"/>
      <c r="B872" s="278"/>
      <c r="C872" s="278"/>
      <c r="D872" s="261" t="s">
        <v>85</v>
      </c>
      <c r="E872" s="267">
        <v>222</v>
      </c>
      <c r="F872" s="267">
        <v>5771</v>
      </c>
      <c r="G872" s="267">
        <v>1281098</v>
      </c>
      <c r="H872" s="267">
        <v>1978</v>
      </c>
      <c r="I872" s="267">
        <v>439081</v>
      </c>
      <c r="J872" s="267">
        <v>842017</v>
      </c>
    </row>
    <row r="873" spans="1:10" ht="14.1" customHeight="1" x14ac:dyDescent="0.2">
      <c r="A873" s="278"/>
      <c r="B873" s="278"/>
      <c r="C873" s="278"/>
      <c r="D873" s="261" t="s">
        <v>96</v>
      </c>
      <c r="E873" s="267">
        <v>153</v>
      </c>
      <c r="F873" s="267">
        <v>3507</v>
      </c>
      <c r="G873" s="267">
        <v>536532</v>
      </c>
      <c r="H873" s="267">
        <v>1978</v>
      </c>
      <c r="I873" s="267">
        <v>302610</v>
      </c>
      <c r="J873" s="267">
        <v>233922</v>
      </c>
    </row>
    <row r="874" spans="1:10" ht="14.1" customHeight="1" x14ac:dyDescent="0.2">
      <c r="A874" s="278"/>
      <c r="B874" s="278"/>
      <c r="C874" s="278"/>
      <c r="D874" s="261" t="s">
        <v>88</v>
      </c>
      <c r="E874" s="267">
        <v>582</v>
      </c>
      <c r="F874" s="267">
        <v>2149</v>
      </c>
      <c r="G874" s="267">
        <v>1250908</v>
      </c>
      <c r="H874" s="267">
        <v>1978</v>
      </c>
      <c r="I874" s="267">
        <v>1151104</v>
      </c>
      <c r="J874" s="267">
        <v>99803</v>
      </c>
    </row>
    <row r="875" spans="1:10" ht="14.1" customHeight="1" x14ac:dyDescent="0.2">
      <c r="A875" s="278" t="s">
        <v>10</v>
      </c>
      <c r="B875" s="278" t="s">
        <v>60</v>
      </c>
      <c r="C875" s="278"/>
      <c r="D875" s="278"/>
      <c r="E875" s="267">
        <v>6689</v>
      </c>
      <c r="F875" s="267"/>
      <c r="G875" s="267">
        <v>104202425</v>
      </c>
      <c r="H875" s="267"/>
      <c r="I875" s="267">
        <v>5426584</v>
      </c>
      <c r="J875" s="267">
        <v>98775841</v>
      </c>
    </row>
    <row r="876" spans="1:10" ht="14.1" customHeight="1" x14ac:dyDescent="0.2">
      <c r="A876" s="278"/>
      <c r="B876" s="261" t="s">
        <v>71</v>
      </c>
      <c r="C876" s="261" t="s">
        <v>72</v>
      </c>
      <c r="D876" s="261" t="s">
        <v>73</v>
      </c>
      <c r="E876" s="284">
        <v>138</v>
      </c>
      <c r="F876" s="284">
        <v>12172</v>
      </c>
      <c r="G876" s="284">
        <v>1679798</v>
      </c>
      <c r="H876" s="284">
        <v>1978</v>
      </c>
      <c r="I876" s="284">
        <v>272942</v>
      </c>
      <c r="J876" s="284">
        <v>1406855</v>
      </c>
    </row>
    <row r="877" spans="1:10" ht="42.95" customHeight="1" x14ac:dyDescent="0.2">
      <c r="A877" s="278"/>
      <c r="B877" s="265" t="s">
        <v>74</v>
      </c>
      <c r="C877" s="263" t="s">
        <v>245</v>
      </c>
      <c r="D877" s="261" t="s">
        <v>79</v>
      </c>
      <c r="E877" s="285"/>
      <c r="F877" s="285"/>
      <c r="G877" s="285"/>
      <c r="H877" s="285"/>
      <c r="I877" s="285"/>
      <c r="J877" s="285"/>
    </row>
    <row r="878" spans="1:10" ht="42.95" customHeight="1" x14ac:dyDescent="0.2">
      <c r="A878" s="278"/>
      <c r="B878" s="277" t="s">
        <v>246</v>
      </c>
      <c r="C878" s="280" t="s">
        <v>75</v>
      </c>
      <c r="D878" s="261" t="s">
        <v>99</v>
      </c>
      <c r="E878" s="267">
        <v>1</v>
      </c>
      <c r="F878" s="267">
        <v>30330</v>
      </c>
      <c r="G878" s="267">
        <v>30330</v>
      </c>
      <c r="H878" s="267">
        <v>0</v>
      </c>
      <c r="I878" s="267">
        <v>0</v>
      </c>
      <c r="J878" s="267">
        <v>30330</v>
      </c>
    </row>
    <row r="879" spans="1:10" ht="14.1" customHeight="1" x14ac:dyDescent="0.2">
      <c r="A879" s="278"/>
      <c r="B879" s="278"/>
      <c r="C879" s="278"/>
      <c r="D879" s="261" t="s">
        <v>91</v>
      </c>
      <c r="E879" s="267">
        <v>3</v>
      </c>
      <c r="F879" s="267">
        <v>18108</v>
      </c>
      <c r="G879" s="267">
        <v>54324</v>
      </c>
      <c r="H879" s="267">
        <v>0</v>
      </c>
      <c r="I879" s="267">
        <v>0</v>
      </c>
      <c r="J879" s="267">
        <v>54324</v>
      </c>
    </row>
    <row r="880" spans="1:10" ht="14.1" customHeight="1" x14ac:dyDescent="0.2">
      <c r="A880" s="278"/>
      <c r="B880" s="278"/>
      <c r="C880" s="278"/>
      <c r="D880" s="261" t="s">
        <v>97</v>
      </c>
      <c r="E880" s="267">
        <v>2</v>
      </c>
      <c r="F880" s="267">
        <v>11317</v>
      </c>
      <c r="G880" s="267">
        <v>22634</v>
      </c>
      <c r="H880" s="267">
        <v>0</v>
      </c>
      <c r="I880" s="267">
        <v>0</v>
      </c>
      <c r="J880" s="267">
        <v>22634</v>
      </c>
    </row>
    <row r="881" spans="1:10" ht="14.1" customHeight="1" x14ac:dyDescent="0.2">
      <c r="A881" s="278"/>
      <c r="B881" s="278"/>
      <c r="C881" s="278"/>
      <c r="D881" s="261" t="s">
        <v>90</v>
      </c>
      <c r="E881" s="267">
        <v>31</v>
      </c>
      <c r="F881" s="267">
        <v>7696</v>
      </c>
      <c r="G881" s="267">
        <v>238563</v>
      </c>
      <c r="H881" s="267">
        <v>0</v>
      </c>
      <c r="I881" s="267">
        <v>0</v>
      </c>
      <c r="J881" s="267">
        <v>238563</v>
      </c>
    </row>
    <row r="882" spans="1:10" ht="14.1" customHeight="1" x14ac:dyDescent="0.2">
      <c r="A882" s="278"/>
      <c r="B882" s="278"/>
      <c r="C882" s="278"/>
      <c r="D882" s="261" t="s">
        <v>76</v>
      </c>
      <c r="E882" s="267">
        <v>4</v>
      </c>
      <c r="F882" s="267">
        <v>36385</v>
      </c>
      <c r="G882" s="267">
        <v>145541</v>
      </c>
      <c r="H882" s="267">
        <v>0</v>
      </c>
      <c r="I882" s="267">
        <v>0</v>
      </c>
      <c r="J882" s="267">
        <v>145541</v>
      </c>
    </row>
    <row r="883" spans="1:10" ht="42.95" customHeight="1" x14ac:dyDescent="0.2">
      <c r="A883" s="278"/>
      <c r="B883" s="278"/>
      <c r="C883" s="277" t="s">
        <v>243</v>
      </c>
      <c r="D883" s="261" t="s">
        <v>92</v>
      </c>
      <c r="E883" s="267">
        <v>3</v>
      </c>
      <c r="F883" s="267">
        <v>31800</v>
      </c>
      <c r="G883" s="267">
        <v>95399</v>
      </c>
      <c r="H883" s="267">
        <v>1469</v>
      </c>
      <c r="I883" s="267">
        <v>4408</v>
      </c>
      <c r="J883" s="267">
        <v>90991</v>
      </c>
    </row>
    <row r="884" spans="1:10" ht="14.1" customHeight="1" x14ac:dyDescent="0.2">
      <c r="A884" s="278"/>
      <c r="B884" s="278"/>
      <c r="C884" s="278"/>
      <c r="D884" s="261" t="s">
        <v>86</v>
      </c>
      <c r="E884" s="267">
        <v>3</v>
      </c>
      <c r="F884" s="267">
        <v>19577</v>
      </c>
      <c r="G884" s="267">
        <v>58731</v>
      </c>
      <c r="H884" s="267">
        <v>1469</v>
      </c>
      <c r="I884" s="267">
        <v>4408</v>
      </c>
      <c r="J884" s="267">
        <v>54324</v>
      </c>
    </row>
    <row r="885" spans="1:10" ht="14.1" customHeight="1" x14ac:dyDescent="0.2">
      <c r="A885" s="278"/>
      <c r="B885" s="278"/>
      <c r="C885" s="278"/>
      <c r="D885" s="261" t="s">
        <v>87</v>
      </c>
      <c r="E885" s="267">
        <v>1</v>
      </c>
      <c r="F885" s="267">
        <v>12786</v>
      </c>
      <c r="G885" s="267">
        <v>12786</v>
      </c>
      <c r="H885" s="267">
        <v>1469</v>
      </c>
      <c r="I885" s="267">
        <v>1469</v>
      </c>
      <c r="J885" s="267">
        <v>11317</v>
      </c>
    </row>
    <row r="886" spans="1:10" ht="14.1" customHeight="1" x14ac:dyDescent="0.2">
      <c r="A886" s="278"/>
      <c r="B886" s="278"/>
      <c r="C886" s="278"/>
      <c r="D886" s="261" t="s">
        <v>84</v>
      </c>
      <c r="E886" s="267">
        <v>4</v>
      </c>
      <c r="F886" s="267">
        <v>9165</v>
      </c>
      <c r="G886" s="267">
        <v>36659</v>
      </c>
      <c r="H886" s="267">
        <v>1469</v>
      </c>
      <c r="I886" s="267">
        <v>5877</v>
      </c>
      <c r="J886" s="267">
        <v>30782</v>
      </c>
    </row>
    <row r="887" spans="1:10" ht="14.1" customHeight="1" x14ac:dyDescent="0.2">
      <c r="A887" s="278"/>
      <c r="B887" s="278"/>
      <c r="C887" s="278"/>
      <c r="D887" s="261" t="s">
        <v>78</v>
      </c>
      <c r="E887" s="267">
        <v>5</v>
      </c>
      <c r="F887" s="267">
        <v>37855</v>
      </c>
      <c r="G887" s="267">
        <v>189273</v>
      </c>
      <c r="H887" s="267">
        <v>1469</v>
      </c>
      <c r="I887" s="267">
        <v>7346</v>
      </c>
      <c r="J887" s="267">
        <v>181927</v>
      </c>
    </row>
    <row r="888" spans="1:10" ht="42.95" customHeight="1" x14ac:dyDescent="0.2">
      <c r="A888" s="278"/>
      <c r="B888" s="278"/>
      <c r="C888" s="277" t="s">
        <v>245</v>
      </c>
      <c r="D888" s="261" t="s">
        <v>92</v>
      </c>
      <c r="E888" s="267">
        <v>936</v>
      </c>
      <c r="F888" s="267">
        <v>31120</v>
      </c>
      <c r="G888" s="267">
        <v>29128717</v>
      </c>
      <c r="H888" s="267">
        <v>790</v>
      </c>
      <c r="I888" s="267">
        <v>739422</v>
      </c>
      <c r="J888" s="267">
        <v>28389295</v>
      </c>
    </row>
    <row r="889" spans="1:10" ht="14.1" customHeight="1" x14ac:dyDescent="0.2">
      <c r="A889" s="278"/>
      <c r="B889" s="278"/>
      <c r="C889" s="278"/>
      <c r="D889" s="261" t="s">
        <v>86</v>
      </c>
      <c r="E889" s="267">
        <v>1150</v>
      </c>
      <c r="F889" s="267">
        <v>18898</v>
      </c>
      <c r="G889" s="267">
        <v>21732563</v>
      </c>
      <c r="H889" s="267">
        <v>790</v>
      </c>
      <c r="I889" s="267">
        <v>908478</v>
      </c>
      <c r="J889" s="267">
        <v>20824085</v>
      </c>
    </row>
    <row r="890" spans="1:10" ht="14.1" customHeight="1" x14ac:dyDescent="0.2">
      <c r="A890" s="278"/>
      <c r="B890" s="278"/>
      <c r="C890" s="278"/>
      <c r="D890" s="261" t="s">
        <v>87</v>
      </c>
      <c r="E890" s="267">
        <v>49</v>
      </c>
      <c r="F890" s="267">
        <v>12107</v>
      </c>
      <c r="G890" s="267">
        <v>593240</v>
      </c>
      <c r="H890" s="267">
        <v>790</v>
      </c>
      <c r="I890" s="267">
        <v>38709</v>
      </c>
      <c r="J890" s="267">
        <v>554531</v>
      </c>
    </row>
    <row r="891" spans="1:10" ht="14.1" customHeight="1" x14ac:dyDescent="0.2">
      <c r="A891" s="278"/>
      <c r="B891" s="278"/>
      <c r="C891" s="278"/>
      <c r="D891" s="261" t="s">
        <v>84</v>
      </c>
      <c r="E891" s="267">
        <v>3898</v>
      </c>
      <c r="F891" s="267">
        <v>8486</v>
      </c>
      <c r="G891" s="267">
        <v>33076671</v>
      </c>
      <c r="H891" s="267">
        <v>790</v>
      </c>
      <c r="I891" s="267">
        <v>3079345</v>
      </c>
      <c r="J891" s="267">
        <v>29997326</v>
      </c>
    </row>
    <row r="892" spans="1:10" ht="14.1" customHeight="1" x14ac:dyDescent="0.2">
      <c r="A892" s="278"/>
      <c r="B892" s="278"/>
      <c r="C892" s="278"/>
      <c r="D892" s="261" t="s">
        <v>78</v>
      </c>
      <c r="E892" s="267">
        <v>460</v>
      </c>
      <c r="F892" s="267">
        <v>37175</v>
      </c>
      <c r="G892" s="267">
        <v>17100655</v>
      </c>
      <c r="H892" s="267">
        <v>790</v>
      </c>
      <c r="I892" s="267">
        <v>363391</v>
      </c>
      <c r="J892" s="267">
        <v>16737264</v>
      </c>
    </row>
    <row r="893" spans="1:10" ht="14.1" customHeight="1" x14ac:dyDescent="0.2">
      <c r="A893" s="278"/>
      <c r="B893" s="278"/>
      <c r="C893" s="278"/>
      <c r="D893" s="261" t="s">
        <v>154</v>
      </c>
      <c r="E893" s="267">
        <v>1</v>
      </c>
      <c r="F893" s="267">
        <v>6542</v>
      </c>
      <c r="G893" s="267">
        <v>6542</v>
      </c>
      <c r="H893" s="267">
        <v>790</v>
      </c>
      <c r="I893" s="267">
        <v>790</v>
      </c>
      <c r="J893" s="267">
        <v>5752</v>
      </c>
    </row>
    <row r="894" spans="1:10" ht="12" customHeight="1" x14ac:dyDescent="0.2"/>
  </sheetData>
  <mergeCells count="417">
    <mergeCell ref="A3:D3"/>
    <mergeCell ref="E4:E5"/>
    <mergeCell ref="F4:F5"/>
    <mergeCell ref="G4:G5"/>
    <mergeCell ref="H4:H5"/>
    <mergeCell ref="I4:I5"/>
    <mergeCell ref="B11:B12"/>
    <mergeCell ref="C11:C12"/>
    <mergeCell ref="B13:B43"/>
    <mergeCell ref="C13:C19"/>
    <mergeCell ref="C20:C26"/>
    <mergeCell ref="C27:C29"/>
    <mergeCell ref="C30:C43"/>
    <mergeCell ref="J4:J5"/>
    <mergeCell ref="A5:A58"/>
    <mergeCell ref="B5:D5"/>
    <mergeCell ref="E6:E7"/>
    <mergeCell ref="F6:F7"/>
    <mergeCell ref="G6:G7"/>
    <mergeCell ref="H6:H7"/>
    <mergeCell ref="I6:I7"/>
    <mergeCell ref="J6:J7"/>
    <mergeCell ref="B7:B10"/>
    <mergeCell ref="I60:I61"/>
    <mergeCell ref="J60:J61"/>
    <mergeCell ref="B44:B58"/>
    <mergeCell ref="C44:C47"/>
    <mergeCell ref="C48:C50"/>
    <mergeCell ref="C51:C58"/>
    <mergeCell ref="A59:A88"/>
    <mergeCell ref="B59:D59"/>
    <mergeCell ref="B61:B63"/>
    <mergeCell ref="B65:B86"/>
    <mergeCell ref="C65:C69"/>
    <mergeCell ref="C70:C75"/>
    <mergeCell ref="C76:C86"/>
    <mergeCell ref="B87:B88"/>
    <mergeCell ref="C87:C88"/>
    <mergeCell ref="A89:A102"/>
    <mergeCell ref="B89:D89"/>
    <mergeCell ref="E90:E91"/>
    <mergeCell ref="E60:E61"/>
    <mergeCell ref="F60:F61"/>
    <mergeCell ref="G60:G61"/>
    <mergeCell ref="F90:F91"/>
    <mergeCell ref="G90:G91"/>
    <mergeCell ref="H90:H91"/>
    <mergeCell ref="H60:H61"/>
    <mergeCell ref="I90:I91"/>
    <mergeCell ref="J90:J91"/>
    <mergeCell ref="B92:B102"/>
    <mergeCell ref="C92:C93"/>
    <mergeCell ref="C94:C96"/>
    <mergeCell ref="C98:C102"/>
    <mergeCell ref="I104:I105"/>
    <mergeCell ref="J104:J105"/>
    <mergeCell ref="B105:B107"/>
    <mergeCell ref="G104:G105"/>
    <mergeCell ref="H104:H105"/>
    <mergeCell ref="B108:B129"/>
    <mergeCell ref="C108:C112"/>
    <mergeCell ref="C113:C119"/>
    <mergeCell ref="C120:C122"/>
    <mergeCell ref="C123:C129"/>
    <mergeCell ref="A103:A132"/>
    <mergeCell ref="B103:D103"/>
    <mergeCell ref="E104:E105"/>
    <mergeCell ref="F104:F105"/>
    <mergeCell ref="B130:B132"/>
    <mergeCell ref="C131:C132"/>
    <mergeCell ref="I134:I135"/>
    <mergeCell ref="J134:J135"/>
    <mergeCell ref="B135:B136"/>
    <mergeCell ref="B137:B144"/>
    <mergeCell ref="C137:C139"/>
    <mergeCell ref="C140:C144"/>
    <mergeCell ref="A133:A160"/>
    <mergeCell ref="B133:D133"/>
    <mergeCell ref="E134:E135"/>
    <mergeCell ref="F134:F135"/>
    <mergeCell ref="G134:G135"/>
    <mergeCell ref="H134:H135"/>
    <mergeCell ref="B145:B160"/>
    <mergeCell ref="C145:C148"/>
    <mergeCell ref="C149:C152"/>
    <mergeCell ref="C153:C160"/>
    <mergeCell ref="A161:A209"/>
    <mergeCell ref="B161:D161"/>
    <mergeCell ref="E162:E163"/>
    <mergeCell ref="F162:F163"/>
    <mergeCell ref="G162:G163"/>
    <mergeCell ref="H162:H163"/>
    <mergeCell ref="B194:B209"/>
    <mergeCell ref="C194:C198"/>
    <mergeCell ref="C199:C201"/>
    <mergeCell ref="C202:C209"/>
    <mergeCell ref="I162:I163"/>
    <mergeCell ref="J162:J163"/>
    <mergeCell ref="B163:B164"/>
    <mergeCell ref="B165:B166"/>
    <mergeCell ref="C165:C166"/>
    <mergeCell ref="B167:B193"/>
    <mergeCell ref="C167:C171"/>
    <mergeCell ref="C172:C178"/>
    <mergeCell ref="C180:C193"/>
    <mergeCell ref="I211:I212"/>
    <mergeCell ref="J211:J212"/>
    <mergeCell ref="B213:B226"/>
    <mergeCell ref="C213:C215"/>
    <mergeCell ref="C216:C217"/>
    <mergeCell ref="C218:C219"/>
    <mergeCell ref="C220:C226"/>
    <mergeCell ref="A210:A226"/>
    <mergeCell ref="B210:D210"/>
    <mergeCell ref="E211:E212"/>
    <mergeCell ref="F211:F212"/>
    <mergeCell ref="G211:G212"/>
    <mergeCell ref="H211:H212"/>
    <mergeCell ref="A227:A285"/>
    <mergeCell ref="B227:D227"/>
    <mergeCell ref="E228:E229"/>
    <mergeCell ref="F228:F229"/>
    <mergeCell ref="G228:G229"/>
    <mergeCell ref="H228:H229"/>
    <mergeCell ref="B241:B265"/>
    <mergeCell ref="C241:C245"/>
    <mergeCell ref="C246:C252"/>
    <mergeCell ref="C254:C265"/>
    <mergeCell ref="H287:H288"/>
    <mergeCell ref="I287:I288"/>
    <mergeCell ref="J287:J288"/>
    <mergeCell ref="B266:B285"/>
    <mergeCell ref="C266:C272"/>
    <mergeCell ref="C273:C276"/>
    <mergeCell ref="C277:C285"/>
    <mergeCell ref="B286:D286"/>
    <mergeCell ref="I228:I229"/>
    <mergeCell ref="J228:J229"/>
    <mergeCell ref="B229:B231"/>
    <mergeCell ref="B232:B240"/>
    <mergeCell ref="C232:C233"/>
    <mergeCell ref="C234:C240"/>
    <mergeCell ref="H309:H310"/>
    <mergeCell ref="I309:I310"/>
    <mergeCell ref="J309:J310"/>
    <mergeCell ref="B310:B312"/>
    <mergeCell ref="B313:B314"/>
    <mergeCell ref="C313:C314"/>
    <mergeCell ref="C300:C307"/>
    <mergeCell ref="A308:A349"/>
    <mergeCell ref="B308:D308"/>
    <mergeCell ref="E309:E310"/>
    <mergeCell ref="F309:F310"/>
    <mergeCell ref="G309:G310"/>
    <mergeCell ref="B315:B316"/>
    <mergeCell ref="C315:C316"/>
    <mergeCell ref="B317:B338"/>
    <mergeCell ref="C317:C323"/>
    <mergeCell ref="A286:A307"/>
    <mergeCell ref="B290:B307"/>
    <mergeCell ref="C290:C293"/>
    <mergeCell ref="C294:C296"/>
    <mergeCell ref="C297:C299"/>
    <mergeCell ref="E287:E288"/>
    <mergeCell ref="F287:F288"/>
    <mergeCell ref="G287:G288"/>
    <mergeCell ref="A350:A360"/>
    <mergeCell ref="B350:D350"/>
    <mergeCell ref="E351:E352"/>
    <mergeCell ref="F351:F352"/>
    <mergeCell ref="G351:G352"/>
    <mergeCell ref="H351:H352"/>
    <mergeCell ref="C324:C327"/>
    <mergeCell ref="C328:C330"/>
    <mergeCell ref="C331:C338"/>
    <mergeCell ref="B339:B349"/>
    <mergeCell ref="C339:C340"/>
    <mergeCell ref="C341:C343"/>
    <mergeCell ref="C344:C349"/>
    <mergeCell ref="J362:J363"/>
    <mergeCell ref="B364:B373"/>
    <mergeCell ref="C364:C366"/>
    <mergeCell ref="C367:C373"/>
    <mergeCell ref="I351:I352"/>
    <mergeCell ref="J351:J352"/>
    <mergeCell ref="B353:B360"/>
    <mergeCell ref="C353:C354"/>
    <mergeCell ref="C356:C360"/>
    <mergeCell ref="B361:D361"/>
    <mergeCell ref="E362:E363"/>
    <mergeCell ref="F362:F363"/>
    <mergeCell ref="G362:G363"/>
    <mergeCell ref="A382:A457"/>
    <mergeCell ref="B382:D382"/>
    <mergeCell ref="E383:E384"/>
    <mergeCell ref="B388:B392"/>
    <mergeCell ref="C389:C392"/>
    <mergeCell ref="B393:B394"/>
    <mergeCell ref="C393:C394"/>
    <mergeCell ref="H362:H363"/>
    <mergeCell ref="I362:I363"/>
    <mergeCell ref="A361:A381"/>
    <mergeCell ref="F383:F384"/>
    <mergeCell ref="G383:G384"/>
    <mergeCell ref="H383:H384"/>
    <mergeCell ref="I383:I384"/>
    <mergeCell ref="B435:B457"/>
    <mergeCell ref="C435:C440"/>
    <mergeCell ref="C441:C444"/>
    <mergeCell ref="C445:C449"/>
    <mergeCell ref="C450:C457"/>
    <mergeCell ref="J383:J384"/>
    <mergeCell ref="B384:B387"/>
    <mergeCell ref="B374:B381"/>
    <mergeCell ref="C375:C377"/>
    <mergeCell ref="C378:C381"/>
    <mergeCell ref="B395:B434"/>
    <mergeCell ref="C395:C402"/>
    <mergeCell ref="C403:C410"/>
    <mergeCell ref="C411:C420"/>
    <mergeCell ref="C421:C434"/>
    <mergeCell ref="A501:A545"/>
    <mergeCell ref="B501:D501"/>
    <mergeCell ref="B503:B505"/>
    <mergeCell ref="B506:B529"/>
    <mergeCell ref="C506:C511"/>
    <mergeCell ref="C512:C517"/>
    <mergeCell ref="I459:I460"/>
    <mergeCell ref="J459:J460"/>
    <mergeCell ref="B460:B461"/>
    <mergeCell ref="B462:B466"/>
    <mergeCell ref="C462:C463"/>
    <mergeCell ref="C464:C466"/>
    <mergeCell ref="A458:A500"/>
    <mergeCell ref="B458:D458"/>
    <mergeCell ref="E459:E460"/>
    <mergeCell ref="F459:F460"/>
    <mergeCell ref="G459:G460"/>
    <mergeCell ref="H459:H460"/>
    <mergeCell ref="B467:B487"/>
    <mergeCell ref="C467:C472"/>
    <mergeCell ref="C473:C476"/>
    <mergeCell ref="C478:C487"/>
    <mergeCell ref="E502:E503"/>
    <mergeCell ref="F502:F503"/>
    <mergeCell ref="G502:G503"/>
    <mergeCell ref="H502:H503"/>
    <mergeCell ref="I502:I503"/>
    <mergeCell ref="J502:J503"/>
    <mergeCell ref="B488:B500"/>
    <mergeCell ref="C488:C491"/>
    <mergeCell ref="C492:C493"/>
    <mergeCell ref="C494:C500"/>
    <mergeCell ref="C519:C529"/>
    <mergeCell ref="B530:B545"/>
    <mergeCell ref="C530:C534"/>
    <mergeCell ref="C535:C537"/>
    <mergeCell ref="C538:C545"/>
    <mergeCell ref="I547:I548"/>
    <mergeCell ref="J547:J548"/>
    <mergeCell ref="B549:B560"/>
    <mergeCell ref="C549:C550"/>
    <mergeCell ref="C551:C552"/>
    <mergeCell ref="C553:C560"/>
    <mergeCell ref="A546:A562"/>
    <mergeCell ref="B546:D546"/>
    <mergeCell ref="E547:E548"/>
    <mergeCell ref="F547:F548"/>
    <mergeCell ref="G547:G548"/>
    <mergeCell ref="H547:H548"/>
    <mergeCell ref="B561:B562"/>
    <mergeCell ref="I564:I565"/>
    <mergeCell ref="J564:J565"/>
    <mergeCell ref="B565:B566"/>
    <mergeCell ref="H564:H565"/>
    <mergeCell ref="B567:B583"/>
    <mergeCell ref="C567:C570"/>
    <mergeCell ref="C571:C573"/>
    <mergeCell ref="C575:C583"/>
    <mergeCell ref="A563:A588"/>
    <mergeCell ref="B563:D563"/>
    <mergeCell ref="E564:E565"/>
    <mergeCell ref="F564:F565"/>
    <mergeCell ref="G564:G565"/>
    <mergeCell ref="B584:B588"/>
    <mergeCell ref="C586:C588"/>
    <mergeCell ref="I590:I591"/>
    <mergeCell ref="J590:J591"/>
    <mergeCell ref="B591:B593"/>
    <mergeCell ref="B594:B598"/>
    <mergeCell ref="C594:C596"/>
    <mergeCell ref="C597:C598"/>
    <mergeCell ref="A589:A636"/>
    <mergeCell ref="B589:D589"/>
    <mergeCell ref="E590:E591"/>
    <mergeCell ref="F590:F591"/>
    <mergeCell ref="G590:G591"/>
    <mergeCell ref="H590:H591"/>
    <mergeCell ref="B599:B600"/>
    <mergeCell ref="C599:C600"/>
    <mergeCell ref="B601:B620"/>
    <mergeCell ref="C601:C606"/>
    <mergeCell ref="C691:C698"/>
    <mergeCell ref="C699:C701"/>
    <mergeCell ref="C702:C705"/>
    <mergeCell ref="C607:C611"/>
    <mergeCell ref="C612:C620"/>
    <mergeCell ref="B621:B636"/>
    <mergeCell ref="C621:C625"/>
    <mergeCell ref="C626:C629"/>
    <mergeCell ref="C630:C636"/>
    <mergeCell ref="A714:A748"/>
    <mergeCell ref="B714:D714"/>
    <mergeCell ref="E715:E716"/>
    <mergeCell ref="F715:F716"/>
    <mergeCell ref="G715:G716"/>
    <mergeCell ref="B743:B748"/>
    <mergeCell ref="C743:C748"/>
    <mergeCell ref="I638:I639"/>
    <mergeCell ref="J638:J639"/>
    <mergeCell ref="B639:B642"/>
    <mergeCell ref="B643:B644"/>
    <mergeCell ref="C643:C644"/>
    <mergeCell ref="B645:B690"/>
    <mergeCell ref="C645:C655"/>
    <mergeCell ref="C656:C665"/>
    <mergeCell ref="C666:C675"/>
    <mergeCell ref="C676:C690"/>
    <mergeCell ref="A637:A713"/>
    <mergeCell ref="B637:D637"/>
    <mergeCell ref="E638:E639"/>
    <mergeCell ref="F638:F639"/>
    <mergeCell ref="G638:G639"/>
    <mergeCell ref="H638:H639"/>
    <mergeCell ref="B691:B713"/>
    <mergeCell ref="H715:H716"/>
    <mergeCell ref="I715:I716"/>
    <mergeCell ref="J715:J716"/>
    <mergeCell ref="B716:B717"/>
    <mergeCell ref="B718:B742"/>
    <mergeCell ref="C718:C724"/>
    <mergeCell ref="C725:C729"/>
    <mergeCell ref="C731:C742"/>
    <mergeCell ref="C706:C713"/>
    <mergeCell ref="I750:I751"/>
    <mergeCell ref="J750:J751"/>
    <mergeCell ref="B751:B753"/>
    <mergeCell ref="B754:B780"/>
    <mergeCell ref="C754:C760"/>
    <mergeCell ref="C761:C766"/>
    <mergeCell ref="C768:C780"/>
    <mergeCell ref="A749:A799"/>
    <mergeCell ref="B749:D749"/>
    <mergeCell ref="E750:E751"/>
    <mergeCell ref="F750:F751"/>
    <mergeCell ref="G750:G751"/>
    <mergeCell ref="H750:H751"/>
    <mergeCell ref="B781:B799"/>
    <mergeCell ref="C781:C787"/>
    <mergeCell ref="C788:C791"/>
    <mergeCell ref="C792:C799"/>
    <mergeCell ref="A818:A822"/>
    <mergeCell ref="B818:D818"/>
    <mergeCell ref="E819:E820"/>
    <mergeCell ref="F819:F820"/>
    <mergeCell ref="G819:G820"/>
    <mergeCell ref="H819:H820"/>
    <mergeCell ref="I801:I802"/>
    <mergeCell ref="J801:J802"/>
    <mergeCell ref="B803:B816"/>
    <mergeCell ref="C803:C806"/>
    <mergeCell ref="C807:C809"/>
    <mergeCell ref="C810:C816"/>
    <mergeCell ref="A800:A817"/>
    <mergeCell ref="B800:D800"/>
    <mergeCell ref="E801:E802"/>
    <mergeCell ref="F801:F802"/>
    <mergeCell ref="G801:G802"/>
    <mergeCell ref="H801:H802"/>
    <mergeCell ref="I824:I825"/>
    <mergeCell ref="J824:J825"/>
    <mergeCell ref="B825:B827"/>
    <mergeCell ref="B828:B834"/>
    <mergeCell ref="C828:C829"/>
    <mergeCell ref="C830:C834"/>
    <mergeCell ref="I819:I820"/>
    <mergeCell ref="J819:J820"/>
    <mergeCell ref="B820:B822"/>
    <mergeCell ref="C821:C822"/>
    <mergeCell ref="B823:D823"/>
    <mergeCell ref="E824:E825"/>
    <mergeCell ref="F824:F825"/>
    <mergeCell ref="G824:G825"/>
    <mergeCell ref="H824:H825"/>
    <mergeCell ref="B865:B874"/>
    <mergeCell ref="C865:C866"/>
    <mergeCell ref="C868:C874"/>
    <mergeCell ref="A875:A893"/>
    <mergeCell ref="B875:D875"/>
    <mergeCell ref="E876:E877"/>
    <mergeCell ref="B835:B836"/>
    <mergeCell ref="C835:C836"/>
    <mergeCell ref="B837:B864"/>
    <mergeCell ref="C837:C842"/>
    <mergeCell ref="C843:C849"/>
    <mergeCell ref="C850:C851"/>
    <mergeCell ref="C852:C864"/>
    <mergeCell ref="A823:A874"/>
    <mergeCell ref="F876:F877"/>
    <mergeCell ref="G876:G877"/>
    <mergeCell ref="H876:H877"/>
    <mergeCell ref="I876:I877"/>
    <mergeCell ref="J876:J877"/>
    <mergeCell ref="B878:B893"/>
    <mergeCell ref="C878:C882"/>
    <mergeCell ref="C883:C887"/>
    <mergeCell ref="C888:C89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"/>
  <sheetViews>
    <sheetView workbookViewId="0">
      <selection sqref="A1:H1"/>
    </sheetView>
  </sheetViews>
  <sheetFormatPr defaultRowHeight="15" x14ac:dyDescent="0.25"/>
  <cols>
    <col min="1" max="1" width="17.28515625" customWidth="1"/>
    <col min="2" max="2" width="39.85546875" customWidth="1"/>
    <col min="3" max="3" width="55.5703125" customWidth="1"/>
    <col min="4" max="4" width="24.140625" customWidth="1"/>
    <col min="5" max="5" width="61.42578125" customWidth="1"/>
    <col min="6" max="6" width="78.140625" style="225" customWidth="1"/>
    <col min="8" max="8" width="5" bestFit="1" customWidth="1"/>
    <col min="9" max="9" width="36.85546875" style="223" bestFit="1" customWidth="1"/>
    <col min="10" max="10" width="7.28515625" bestFit="1" customWidth="1"/>
    <col min="11" max="11" width="11.7109375" bestFit="1" customWidth="1"/>
    <col min="13" max="13" width="5" bestFit="1" customWidth="1"/>
    <col min="14" max="14" width="36.85546875" bestFit="1" customWidth="1"/>
    <col min="15" max="15" width="33.5703125" customWidth="1"/>
    <col min="16" max="16" width="28.7109375" customWidth="1"/>
  </cols>
  <sheetData>
    <row r="1" spans="1:17" x14ac:dyDescent="0.2">
      <c r="A1" s="286" t="s">
        <v>260</v>
      </c>
      <c r="B1" s="286"/>
      <c r="C1" s="286"/>
      <c r="D1" s="286"/>
      <c r="E1" s="286"/>
      <c r="F1" s="286"/>
      <c r="G1" s="286"/>
      <c r="H1" s="286"/>
      <c r="I1" s="168"/>
    </row>
    <row r="2" spans="1:17" x14ac:dyDescent="0.25">
      <c r="A2" s="169"/>
      <c r="D2" s="170"/>
      <c r="E2" s="170"/>
      <c r="F2" s="171"/>
      <c r="I2" s="168"/>
    </row>
    <row r="3" spans="1:17" ht="79.5" customHeight="1" x14ac:dyDescent="0.2">
      <c r="A3" s="228" t="s">
        <v>120</v>
      </c>
      <c r="B3" s="172" t="s">
        <v>0</v>
      </c>
      <c r="C3" s="173" t="s">
        <v>121</v>
      </c>
      <c r="D3" s="174" t="s">
        <v>163</v>
      </c>
      <c r="E3" s="175" t="s">
        <v>164</v>
      </c>
      <c r="F3" s="176" t="s">
        <v>136</v>
      </c>
      <c r="H3" s="287" t="s">
        <v>231</v>
      </c>
      <c r="I3" s="288"/>
      <c r="J3" s="288"/>
      <c r="K3" s="289"/>
      <c r="L3" s="177"/>
      <c r="M3" s="290" t="s">
        <v>231</v>
      </c>
      <c r="N3" s="291"/>
      <c r="O3" s="292" t="s">
        <v>164</v>
      </c>
      <c r="P3" s="293"/>
    </row>
    <row r="4" spans="1:17" ht="12.75" x14ac:dyDescent="0.2">
      <c r="A4" s="178"/>
      <c r="B4" s="179"/>
      <c r="C4" s="178"/>
      <c r="D4" s="180"/>
      <c r="E4" s="181"/>
      <c r="F4" s="182"/>
      <c r="H4" s="183"/>
      <c r="I4" s="184"/>
      <c r="J4" s="185" t="s">
        <v>165</v>
      </c>
      <c r="K4" s="186" t="s">
        <v>166</v>
      </c>
      <c r="L4" s="170"/>
      <c r="M4" s="183"/>
      <c r="N4" s="184"/>
      <c r="O4" s="185" t="s">
        <v>165</v>
      </c>
      <c r="P4" s="186" t="s">
        <v>166</v>
      </c>
    </row>
    <row r="5" spans="1:17" ht="12.75" x14ac:dyDescent="0.2">
      <c r="A5" s="187" t="s">
        <v>59</v>
      </c>
      <c r="B5" s="188"/>
      <c r="C5" s="189"/>
      <c r="D5" s="190"/>
      <c r="E5" s="190"/>
      <c r="F5" s="229"/>
      <c r="G5" s="230"/>
      <c r="H5" s="191"/>
      <c r="I5" s="192"/>
      <c r="J5" s="193"/>
      <c r="K5" s="194"/>
      <c r="L5" s="170"/>
      <c r="M5" s="191"/>
      <c r="N5" s="192"/>
      <c r="O5" s="193"/>
      <c r="P5" s="194"/>
    </row>
    <row r="6" spans="1:17" ht="12.75" x14ac:dyDescent="0.2">
      <c r="A6" s="195">
        <v>1</v>
      </c>
      <c r="B6" s="196" t="s">
        <v>167</v>
      </c>
      <c r="C6" s="197" t="s">
        <v>168</v>
      </c>
      <c r="D6" s="231"/>
      <c r="E6" s="198"/>
      <c r="F6" s="232"/>
      <c r="G6" s="233"/>
      <c r="H6" s="191">
        <v>1301</v>
      </c>
      <c r="I6" s="192" t="s">
        <v>1</v>
      </c>
      <c r="J6" s="193"/>
      <c r="K6" s="194"/>
      <c r="L6" s="170"/>
      <c r="M6" s="191">
        <v>1301</v>
      </c>
      <c r="N6" s="192" t="s">
        <v>1</v>
      </c>
      <c r="O6" s="193"/>
      <c r="P6" s="194"/>
      <c r="Q6" s="234"/>
    </row>
    <row r="7" spans="1:17" ht="12.75" x14ac:dyDescent="0.2">
      <c r="A7" s="195" t="s">
        <v>169</v>
      </c>
      <c r="B7" s="196" t="s">
        <v>170</v>
      </c>
      <c r="C7" s="197" t="s">
        <v>168</v>
      </c>
      <c r="D7" s="199">
        <v>995598</v>
      </c>
      <c r="E7" s="200">
        <v>924664.56288565486</v>
      </c>
      <c r="F7" s="235"/>
      <c r="G7" s="233"/>
      <c r="H7" s="191">
        <v>1309</v>
      </c>
      <c r="I7" s="192" t="s">
        <v>137</v>
      </c>
      <c r="J7" s="193"/>
      <c r="K7" s="194">
        <f>SUM(D49:D50)</f>
        <v>-13072.000000000007</v>
      </c>
      <c r="L7" s="170"/>
      <c r="M7" s="191">
        <v>1309</v>
      </c>
      <c r="N7" s="192" t="s">
        <v>137</v>
      </c>
      <c r="O7" s="193"/>
      <c r="P7" s="194">
        <f>SUM(E49:E50)</f>
        <v>-12593.448940269765</v>
      </c>
      <c r="Q7" s="234"/>
    </row>
    <row r="8" spans="1:17" ht="12.75" x14ac:dyDescent="0.2">
      <c r="A8" s="195" t="s">
        <v>171</v>
      </c>
      <c r="B8" s="196" t="s">
        <v>172</v>
      </c>
      <c r="C8" s="197" t="s">
        <v>168</v>
      </c>
      <c r="D8" s="236"/>
      <c r="E8" s="237"/>
      <c r="F8" s="235"/>
      <c r="G8" s="233"/>
      <c r="H8" s="191">
        <v>1330</v>
      </c>
      <c r="I8" s="192" t="s">
        <v>138</v>
      </c>
      <c r="J8" s="193"/>
      <c r="K8" s="194"/>
      <c r="L8" s="170"/>
      <c r="M8" s="191">
        <v>1330</v>
      </c>
      <c r="N8" s="192" t="s">
        <v>138</v>
      </c>
      <c r="O8" s="193"/>
      <c r="P8" s="194"/>
      <c r="Q8" s="234"/>
    </row>
    <row r="9" spans="1:17" ht="12.75" x14ac:dyDescent="0.2">
      <c r="A9" s="195" t="s">
        <v>173</v>
      </c>
      <c r="B9" s="196" t="s">
        <v>174</v>
      </c>
      <c r="C9" s="197" t="s">
        <v>168</v>
      </c>
      <c r="D9" s="236"/>
      <c r="E9" s="236"/>
      <c r="F9" s="235"/>
      <c r="G9" s="233"/>
      <c r="H9" s="191">
        <v>1501</v>
      </c>
      <c r="I9" s="192" t="s">
        <v>2</v>
      </c>
      <c r="J9" s="193"/>
      <c r="K9" s="194">
        <f>D51</f>
        <v>-26781</v>
      </c>
      <c r="L9" s="170"/>
      <c r="M9" s="191">
        <v>1501</v>
      </c>
      <c r="N9" s="192" t="s">
        <v>2</v>
      </c>
      <c r="O9" s="193"/>
      <c r="P9" s="194">
        <f>E51</f>
        <v>-25800.578034682083</v>
      </c>
      <c r="Q9" s="234"/>
    </row>
    <row r="10" spans="1:17" ht="12.75" x14ac:dyDescent="0.2">
      <c r="A10" s="195" t="s">
        <v>175</v>
      </c>
      <c r="B10" s="196" t="s">
        <v>176</v>
      </c>
      <c r="C10" s="197" t="s">
        <v>168</v>
      </c>
      <c r="D10" s="236"/>
      <c r="E10" s="236"/>
      <c r="F10" s="235"/>
      <c r="G10" s="233"/>
      <c r="H10" s="191">
        <v>1502</v>
      </c>
      <c r="I10" s="192" t="s">
        <v>3</v>
      </c>
      <c r="J10" s="193"/>
      <c r="K10" s="194">
        <f>D52</f>
        <v>70082.000000000015</v>
      </c>
      <c r="L10" s="170"/>
      <c r="M10" s="191">
        <v>1502</v>
      </c>
      <c r="N10" s="192" t="s">
        <v>3</v>
      </c>
      <c r="O10" s="193"/>
      <c r="P10" s="194">
        <f>E52</f>
        <v>67516.37764932563</v>
      </c>
      <c r="Q10" s="234"/>
    </row>
    <row r="11" spans="1:17" ht="12.75" x14ac:dyDescent="0.2">
      <c r="A11" s="195" t="s">
        <v>177</v>
      </c>
      <c r="B11" s="196" t="s">
        <v>178</v>
      </c>
      <c r="C11" s="197" t="s">
        <v>168</v>
      </c>
      <c r="D11" s="199">
        <v>5753387</v>
      </c>
      <c r="E11" s="200">
        <v>5262845.6223005392</v>
      </c>
      <c r="F11" s="232"/>
      <c r="G11" s="233"/>
      <c r="H11" s="191">
        <v>1516</v>
      </c>
      <c r="I11" s="192" t="s">
        <v>4</v>
      </c>
      <c r="J11" s="193"/>
      <c r="K11" s="194"/>
      <c r="L11" s="170"/>
      <c r="M11" s="191">
        <v>1516</v>
      </c>
      <c r="N11" s="192" t="s">
        <v>4</v>
      </c>
      <c r="O11" s="193"/>
      <c r="P11" s="194"/>
      <c r="Q11" s="234"/>
    </row>
    <row r="12" spans="1:17" ht="12.75" x14ac:dyDescent="0.2">
      <c r="A12" s="195" t="s">
        <v>179</v>
      </c>
      <c r="B12" s="196" t="s">
        <v>180</v>
      </c>
      <c r="C12" s="197" t="s">
        <v>168</v>
      </c>
      <c r="D12" s="199">
        <v>6489581</v>
      </c>
      <c r="E12" s="200">
        <v>6004788.9957725815</v>
      </c>
      <c r="F12" s="235"/>
      <c r="G12" s="233"/>
      <c r="H12" s="191">
        <v>2000</v>
      </c>
      <c r="I12" s="192" t="s">
        <v>5</v>
      </c>
      <c r="J12" s="193"/>
      <c r="K12" s="194">
        <f>D53</f>
        <v>1823451.9999999998</v>
      </c>
      <c r="L12" s="170"/>
      <c r="M12" s="191">
        <v>2000</v>
      </c>
      <c r="N12" s="192" t="s">
        <v>5</v>
      </c>
      <c r="O12" s="193"/>
      <c r="P12" s="194">
        <f>E53</f>
        <v>1756697.4951830441</v>
      </c>
      <c r="Q12" s="234"/>
    </row>
    <row r="13" spans="1:17" ht="12.75" x14ac:dyDescent="0.2">
      <c r="A13" s="195" t="s">
        <v>181</v>
      </c>
      <c r="B13" s="196" t="s">
        <v>182</v>
      </c>
      <c r="C13" s="197" t="s">
        <v>168</v>
      </c>
      <c r="D13" s="199">
        <v>1026865</v>
      </c>
      <c r="E13" s="200">
        <v>954332.11719297967</v>
      </c>
      <c r="F13" s="235"/>
      <c r="G13" s="233"/>
      <c r="H13" s="191">
        <v>4001</v>
      </c>
      <c r="I13" s="192" t="s">
        <v>6</v>
      </c>
      <c r="J13" s="193"/>
      <c r="K13" s="194"/>
      <c r="L13" s="170"/>
      <c r="M13" s="191">
        <v>4001</v>
      </c>
      <c r="N13" s="192" t="s">
        <v>6</v>
      </c>
      <c r="O13" s="193"/>
      <c r="P13" s="194"/>
      <c r="Q13" s="234"/>
    </row>
    <row r="14" spans="1:17" ht="12.75" x14ac:dyDescent="0.2">
      <c r="A14" s="195" t="s">
        <v>183</v>
      </c>
      <c r="B14" s="196" t="s">
        <v>184</v>
      </c>
      <c r="C14" s="197" t="s">
        <v>168</v>
      </c>
      <c r="D14" s="199">
        <v>10766663</v>
      </c>
      <c r="E14" s="200">
        <v>9941679.3891083337</v>
      </c>
      <c r="F14" s="235"/>
      <c r="G14" s="233"/>
      <c r="H14" s="191">
        <v>3810</v>
      </c>
      <c r="I14" s="192" t="s">
        <v>114</v>
      </c>
      <c r="J14" s="211"/>
      <c r="K14" s="212"/>
      <c r="L14" s="170"/>
      <c r="M14" s="191">
        <v>3810</v>
      </c>
      <c r="N14" s="192" t="s">
        <v>114</v>
      </c>
      <c r="O14" s="211"/>
      <c r="P14" s="212"/>
      <c r="Q14" s="234"/>
    </row>
    <row r="15" spans="1:17" ht="12.75" x14ac:dyDescent="0.2">
      <c r="A15" s="195" t="s">
        <v>185</v>
      </c>
      <c r="B15" s="196" t="s">
        <v>186</v>
      </c>
      <c r="C15" s="197" t="s">
        <v>168</v>
      </c>
      <c r="D15" s="236"/>
      <c r="E15" s="236"/>
      <c r="F15" s="235"/>
      <c r="G15" s="233"/>
      <c r="H15" s="191">
        <v>3820</v>
      </c>
      <c r="I15" s="192" t="s">
        <v>108</v>
      </c>
      <c r="J15" s="211"/>
      <c r="K15" s="212"/>
      <c r="L15" s="170"/>
      <c r="M15" s="191">
        <v>3820</v>
      </c>
      <c r="N15" s="192" t="s">
        <v>108</v>
      </c>
      <c r="O15" s="211"/>
      <c r="P15" s="212"/>
      <c r="Q15" s="234"/>
    </row>
    <row r="16" spans="1:17" ht="12.75" x14ac:dyDescent="0.2">
      <c r="A16" s="195" t="s">
        <v>187</v>
      </c>
      <c r="B16" s="196" t="s">
        <v>188</v>
      </c>
      <c r="C16" s="197" t="s">
        <v>168</v>
      </c>
      <c r="D16" s="199">
        <v>6533252.6006735032</v>
      </c>
      <c r="E16" s="200">
        <v>6033050.2105818307</v>
      </c>
      <c r="F16" s="232"/>
      <c r="G16" s="233"/>
      <c r="H16" s="191">
        <v>3830</v>
      </c>
      <c r="I16" s="192" t="s">
        <v>115</v>
      </c>
      <c r="J16" s="211"/>
      <c r="K16" s="212"/>
      <c r="L16" s="170"/>
      <c r="M16" s="191">
        <v>3830</v>
      </c>
      <c r="N16" s="192" t="s">
        <v>115</v>
      </c>
      <c r="O16" s="211"/>
      <c r="P16" s="212"/>
      <c r="Q16" s="234"/>
    </row>
    <row r="17" spans="1:17" ht="12.75" x14ac:dyDescent="0.2">
      <c r="A17" s="195" t="s">
        <v>189</v>
      </c>
      <c r="B17" s="196" t="s">
        <v>190</v>
      </c>
      <c r="C17" s="197" t="s">
        <v>168</v>
      </c>
      <c r="D17" s="199">
        <v>16574288.688430356</v>
      </c>
      <c r="E17" s="200">
        <v>15395244.250427412</v>
      </c>
      <c r="F17" s="235"/>
      <c r="G17" s="233"/>
      <c r="H17" s="191">
        <v>3840</v>
      </c>
      <c r="I17" s="192" t="s">
        <v>116</v>
      </c>
      <c r="J17" s="211"/>
      <c r="K17" s="212">
        <f>D57</f>
        <v>13509658</v>
      </c>
      <c r="L17" s="170"/>
      <c r="M17" s="191">
        <v>3840</v>
      </c>
      <c r="N17" s="192" t="s">
        <v>116</v>
      </c>
      <c r="O17" s="211"/>
      <c r="P17" s="212">
        <f>E57</f>
        <v>13116868.789954785</v>
      </c>
      <c r="Q17" s="234"/>
    </row>
    <row r="18" spans="1:17" ht="12.75" x14ac:dyDescent="0.2">
      <c r="A18" s="195">
        <v>2</v>
      </c>
      <c r="B18" s="196" t="s">
        <v>10</v>
      </c>
      <c r="C18" s="197" t="s">
        <v>168</v>
      </c>
      <c r="D18" s="236"/>
      <c r="E18" s="237"/>
      <c r="F18" s="235"/>
      <c r="G18" s="233"/>
      <c r="H18" s="191">
        <v>4200</v>
      </c>
      <c r="I18" s="192" t="s">
        <v>7</v>
      </c>
      <c r="J18" s="193"/>
      <c r="K18" s="194">
        <f>D44</f>
        <v>0</v>
      </c>
      <c r="M18" s="191">
        <v>4200</v>
      </c>
      <c r="N18" s="192" t="s">
        <v>7</v>
      </c>
      <c r="O18" s="193"/>
      <c r="P18" s="194">
        <f>E44</f>
        <v>0</v>
      </c>
      <c r="Q18" s="234"/>
    </row>
    <row r="19" spans="1:17" ht="12.75" x14ac:dyDescent="0.2">
      <c r="A19" s="195" t="s">
        <v>191</v>
      </c>
      <c r="B19" s="196" t="s">
        <v>180</v>
      </c>
      <c r="C19" s="197" t="s">
        <v>168</v>
      </c>
      <c r="D19" s="199">
        <v>493557</v>
      </c>
      <c r="E19" s="200">
        <v>455937.03869899944</v>
      </c>
      <c r="F19" s="235"/>
      <c r="G19" s="233"/>
      <c r="H19" s="191">
        <v>5000</v>
      </c>
      <c r="I19" s="192" t="s">
        <v>40</v>
      </c>
      <c r="J19" s="193"/>
      <c r="K19" s="194">
        <f>D45</f>
        <v>15020012</v>
      </c>
      <c r="M19" s="191">
        <v>5000</v>
      </c>
      <c r="N19" s="192" t="s">
        <v>40</v>
      </c>
      <c r="O19" s="193"/>
      <c r="P19" s="194">
        <f>E45</f>
        <v>14011205.223880591</v>
      </c>
      <c r="Q19" s="234"/>
    </row>
    <row r="20" spans="1:17" ht="12.75" x14ac:dyDescent="0.2">
      <c r="A20" s="195" t="s">
        <v>192</v>
      </c>
      <c r="B20" s="196" t="s">
        <v>172</v>
      </c>
      <c r="C20" s="197" t="s">
        <v>168</v>
      </c>
      <c r="D20" s="199">
        <v>1321150</v>
      </c>
      <c r="E20" s="200">
        <v>1209147.3282548354</v>
      </c>
      <c r="F20" s="235"/>
      <c r="G20" s="233"/>
      <c r="H20" s="191">
        <v>5501</v>
      </c>
      <c r="I20" s="192" t="s">
        <v>8</v>
      </c>
      <c r="J20" s="193"/>
      <c r="K20" s="194"/>
      <c r="M20" s="191">
        <v>5501</v>
      </c>
      <c r="N20" s="192" t="s">
        <v>8</v>
      </c>
      <c r="O20" s="193"/>
      <c r="P20" s="194"/>
      <c r="Q20" s="234"/>
    </row>
    <row r="21" spans="1:17" ht="12.75" x14ac:dyDescent="0.2">
      <c r="A21" s="195" t="s">
        <v>193</v>
      </c>
      <c r="B21" s="196" t="s">
        <v>194</v>
      </c>
      <c r="C21" s="197" t="s">
        <v>168</v>
      </c>
      <c r="D21" s="236"/>
      <c r="E21" s="198"/>
      <c r="F21" s="232"/>
      <c r="G21" s="233"/>
      <c r="H21" s="191">
        <v>6007</v>
      </c>
      <c r="I21" s="192" t="s">
        <v>111</v>
      </c>
      <c r="J21" s="193"/>
      <c r="K21" s="194"/>
      <c r="M21" s="191">
        <v>6007</v>
      </c>
      <c r="N21" s="192" t="s">
        <v>111</v>
      </c>
      <c r="O21" s="193"/>
      <c r="P21" s="194"/>
      <c r="Q21" s="234"/>
    </row>
    <row r="22" spans="1:17" ht="12.75" x14ac:dyDescent="0.2">
      <c r="A22" s="195" t="s">
        <v>195</v>
      </c>
      <c r="B22" s="196" t="s">
        <v>196</v>
      </c>
      <c r="C22" s="197" t="s">
        <v>168</v>
      </c>
      <c r="D22" s="199">
        <v>32078693</v>
      </c>
      <c r="E22" s="200">
        <v>29786976.913125094</v>
      </c>
      <c r="F22" s="235"/>
      <c r="G22" s="233"/>
      <c r="H22" s="191">
        <v>6008</v>
      </c>
      <c r="I22" s="192" t="s">
        <v>135</v>
      </c>
      <c r="J22" s="193"/>
      <c r="K22" s="194"/>
      <c r="M22" s="191">
        <v>6008</v>
      </c>
      <c r="N22" s="192" t="s">
        <v>135</v>
      </c>
      <c r="O22" s="193"/>
      <c r="P22" s="194"/>
      <c r="Q22" s="234"/>
    </row>
    <row r="23" spans="1:17" ht="12.75" x14ac:dyDescent="0.2">
      <c r="A23" s="195" t="s">
        <v>197</v>
      </c>
      <c r="B23" s="196" t="s">
        <v>198</v>
      </c>
      <c r="C23" s="197" t="s">
        <v>168</v>
      </c>
      <c r="D23" s="199">
        <v>4298627</v>
      </c>
      <c r="E23" s="200">
        <v>3989709.0136731244</v>
      </c>
      <c r="F23" s="235"/>
      <c r="G23" s="233"/>
      <c r="H23" s="191">
        <v>6013</v>
      </c>
      <c r="I23" s="192" t="s">
        <v>109</v>
      </c>
      <c r="J23" s="193"/>
      <c r="K23" s="194"/>
      <c r="M23" s="191">
        <v>6013</v>
      </c>
      <c r="N23" s="192" t="s">
        <v>109</v>
      </c>
      <c r="O23" s="193"/>
      <c r="P23" s="194"/>
      <c r="Q23" s="234"/>
    </row>
    <row r="24" spans="1:17" ht="12.75" x14ac:dyDescent="0.2">
      <c r="A24" s="195">
        <v>3</v>
      </c>
      <c r="B24" s="196" t="s">
        <v>11</v>
      </c>
      <c r="C24" s="197" t="s">
        <v>168</v>
      </c>
      <c r="D24" s="236"/>
      <c r="E24" s="236"/>
      <c r="F24" s="235"/>
      <c r="G24" s="233"/>
      <c r="H24" s="191">
        <v>6006</v>
      </c>
      <c r="I24" s="192" t="s">
        <v>117</v>
      </c>
      <c r="J24" s="193"/>
      <c r="K24" s="194">
        <f>SUM(D39:D40)</f>
        <v>0</v>
      </c>
      <c r="M24" s="191">
        <v>6006</v>
      </c>
      <c r="N24" s="192" t="s">
        <v>117</v>
      </c>
      <c r="O24" s="193"/>
      <c r="P24" s="194">
        <f>SUM(E39:E40)</f>
        <v>0</v>
      </c>
      <c r="Q24" s="234"/>
    </row>
    <row r="25" spans="1:17" ht="12.75" x14ac:dyDescent="0.2">
      <c r="A25" s="195">
        <v>4</v>
      </c>
      <c r="B25" s="196" t="s">
        <v>199</v>
      </c>
      <c r="C25" s="197" t="s">
        <v>200</v>
      </c>
      <c r="D25" s="236"/>
      <c r="E25" s="236"/>
      <c r="F25" s="235"/>
      <c r="G25" s="233"/>
      <c r="H25" s="191">
        <v>6650</v>
      </c>
      <c r="I25" s="192" t="s">
        <v>57</v>
      </c>
      <c r="J25" s="193"/>
      <c r="K25" s="194">
        <f>SUM(D33)</f>
        <v>6096291.9019029355</v>
      </c>
      <c r="M25" s="191">
        <v>6650</v>
      </c>
      <c r="N25" s="192" t="s">
        <v>57</v>
      </c>
      <c r="O25" s="193"/>
      <c r="P25" s="194">
        <f>SUM(E33)</f>
        <v>5670706.5439254018</v>
      </c>
      <c r="Q25" s="234"/>
    </row>
    <row r="26" spans="1:17" ht="12.75" x14ac:dyDescent="0.2">
      <c r="A26" s="201"/>
      <c r="B26" s="202"/>
      <c r="C26" s="203"/>
      <c r="D26" s="238"/>
      <c r="E26" s="204"/>
      <c r="F26" s="239"/>
      <c r="G26" s="233"/>
      <c r="H26" s="191">
        <v>6620</v>
      </c>
      <c r="I26" s="192" t="s">
        <v>56</v>
      </c>
      <c r="J26" s="193"/>
      <c r="K26" s="194">
        <f>SUM(D29:D32,D35,D38)</f>
        <v>102172438.65929428</v>
      </c>
      <c r="M26" s="191">
        <v>6620</v>
      </c>
      <c r="N26" s="192" t="s">
        <v>56</v>
      </c>
      <c r="O26" s="193"/>
      <c r="P26" s="194">
        <f>SUM(E29:E32,E35,E38)</f>
        <v>94918900.353447825</v>
      </c>
      <c r="Q26" s="234"/>
    </row>
    <row r="27" spans="1:17" ht="12.75" x14ac:dyDescent="0.2">
      <c r="A27" s="205"/>
      <c r="B27" s="179"/>
      <c r="C27" s="178"/>
      <c r="D27" s="206">
        <v>86331662.289103866</v>
      </c>
      <c r="E27" s="207">
        <v>79958375.442021385</v>
      </c>
      <c r="F27" s="240"/>
      <c r="G27" s="233"/>
      <c r="H27" s="191">
        <v>7005</v>
      </c>
      <c r="I27" s="192" t="s">
        <v>58</v>
      </c>
      <c r="J27" s="193"/>
      <c r="K27" s="194">
        <f>D36</f>
        <v>0</v>
      </c>
      <c r="M27" s="191">
        <v>7005</v>
      </c>
      <c r="N27" s="192" t="s">
        <v>58</v>
      </c>
      <c r="O27" s="193"/>
      <c r="P27" s="194">
        <f>E36</f>
        <v>0</v>
      </c>
      <c r="Q27" s="234"/>
    </row>
    <row r="28" spans="1:17" ht="12.75" x14ac:dyDescent="0.2">
      <c r="A28" s="187" t="s">
        <v>61</v>
      </c>
      <c r="B28" s="188"/>
      <c r="C28" s="189"/>
      <c r="D28" s="209"/>
      <c r="E28" s="209"/>
      <c r="F28" s="241"/>
      <c r="G28" s="233"/>
      <c r="H28" s="191">
        <v>6630</v>
      </c>
      <c r="I28" s="192" t="s">
        <v>104</v>
      </c>
      <c r="J28" s="193"/>
      <c r="K28" s="194">
        <f>D34</f>
        <v>8673122.9999999981</v>
      </c>
      <c r="M28" s="191">
        <v>6630</v>
      </c>
      <c r="N28" s="192" t="s">
        <v>104</v>
      </c>
      <c r="O28" s="193"/>
      <c r="P28" s="194">
        <f>E34</f>
        <v>8094247.6292669578</v>
      </c>
      <c r="Q28" s="234"/>
    </row>
    <row r="29" spans="1:17" ht="12.75" x14ac:dyDescent="0.2">
      <c r="A29" s="195" t="s">
        <v>122</v>
      </c>
      <c r="B29" s="196" t="s">
        <v>201</v>
      </c>
      <c r="C29" s="197" t="s">
        <v>202</v>
      </c>
      <c r="D29" s="199">
        <v>792150</v>
      </c>
      <c r="E29" s="200">
        <v>734015.37313432863</v>
      </c>
      <c r="F29" s="241"/>
      <c r="G29" s="233"/>
      <c r="H29" s="191">
        <v>7603</v>
      </c>
      <c r="I29" s="192" t="s">
        <v>9</v>
      </c>
      <c r="J29" s="193"/>
      <c r="K29" s="194"/>
      <c r="M29" s="191">
        <v>7603</v>
      </c>
      <c r="N29" s="192" t="s">
        <v>9</v>
      </c>
      <c r="O29" s="193"/>
      <c r="P29" s="194"/>
      <c r="Q29" s="234"/>
    </row>
    <row r="30" spans="1:17" ht="12.75" x14ac:dyDescent="0.2">
      <c r="A30" s="195" t="s">
        <v>123</v>
      </c>
      <c r="B30" s="196" t="s">
        <v>201</v>
      </c>
      <c r="C30" s="197" t="s">
        <v>203</v>
      </c>
      <c r="D30" s="199">
        <v>1878897</v>
      </c>
      <c r="E30" s="200">
        <v>1810112.7167630054</v>
      </c>
      <c r="F30" s="241"/>
      <c r="G30" s="233"/>
      <c r="H30" s="191">
        <v>8001</v>
      </c>
      <c r="I30" s="192" t="s">
        <v>112</v>
      </c>
      <c r="J30" s="193"/>
      <c r="K30" s="194">
        <f>SUM(D7,D11:D14,D16:D17)</f>
        <v>48139635.289103858</v>
      </c>
      <c r="M30" s="191">
        <v>8001</v>
      </c>
      <c r="N30" s="192" t="s">
        <v>112</v>
      </c>
      <c r="O30" s="193"/>
      <c r="P30" s="194">
        <f>SUM(E7,E11:E14,E16:E17)</f>
        <v>44516605.148269333</v>
      </c>
      <c r="Q30" s="234"/>
    </row>
    <row r="31" spans="1:17" ht="12.75" x14ac:dyDescent="0.2">
      <c r="A31" s="195" t="s">
        <v>124</v>
      </c>
      <c r="B31" s="196" t="s">
        <v>204</v>
      </c>
      <c r="C31" s="197" t="s">
        <v>205</v>
      </c>
      <c r="D31" s="199">
        <v>2225858.9675324671</v>
      </c>
      <c r="E31" s="200">
        <v>2165977.0576379239</v>
      </c>
      <c r="F31" s="241"/>
      <c r="G31" s="233"/>
      <c r="H31" s="191">
        <v>8003</v>
      </c>
      <c r="I31" s="251" t="s">
        <v>10</v>
      </c>
      <c r="J31" s="252"/>
      <c r="K31" s="253">
        <f>SUM(D19:D20,D22:D23)</f>
        <v>38192027</v>
      </c>
      <c r="L31" s="254"/>
      <c r="M31" s="255">
        <v>8003</v>
      </c>
      <c r="N31" s="251" t="s">
        <v>10</v>
      </c>
      <c r="O31" s="252"/>
      <c r="P31" s="253">
        <f>SUM(E19:E20,E22:E23)</f>
        <v>35441770.293752052</v>
      </c>
      <c r="Q31" s="234"/>
    </row>
    <row r="32" spans="1:17" ht="12.75" x14ac:dyDescent="0.2">
      <c r="A32" s="195" t="s">
        <v>125</v>
      </c>
      <c r="B32" s="196" t="s">
        <v>62</v>
      </c>
      <c r="C32" s="197" t="s">
        <v>206</v>
      </c>
      <c r="D32" s="199">
        <v>98690417.994171664</v>
      </c>
      <c r="E32" s="200">
        <v>91621322.768898889</v>
      </c>
      <c r="F32" s="241"/>
      <c r="G32" s="233"/>
      <c r="H32" s="242"/>
      <c r="I32" s="242"/>
      <c r="J32" s="243"/>
      <c r="K32" s="243"/>
      <c r="L32" s="234"/>
      <c r="M32" s="242"/>
      <c r="N32" s="242"/>
      <c r="O32" s="243"/>
      <c r="P32" s="243"/>
      <c r="Q32" s="234"/>
    </row>
    <row r="33" spans="1:17" ht="12.75" x14ac:dyDescent="0.2">
      <c r="A33" s="195" t="s">
        <v>126</v>
      </c>
      <c r="B33" s="196" t="s">
        <v>207</v>
      </c>
      <c r="C33" s="197" t="s">
        <v>208</v>
      </c>
      <c r="D33" s="199">
        <v>6096291.9019029355</v>
      </c>
      <c r="E33" s="200">
        <v>5670706.5439254018</v>
      </c>
      <c r="F33" s="241"/>
      <c r="G33" s="233"/>
      <c r="H33" s="242"/>
      <c r="I33" s="242"/>
      <c r="J33" s="243"/>
      <c r="K33" s="243"/>
      <c r="L33" s="234"/>
      <c r="M33" s="242"/>
      <c r="N33" s="242"/>
      <c r="O33" s="243"/>
      <c r="P33" s="243"/>
      <c r="Q33" s="234"/>
    </row>
    <row r="34" spans="1:17" ht="12.75" x14ac:dyDescent="0.2">
      <c r="A34" s="195" t="s">
        <v>127</v>
      </c>
      <c r="B34" s="196" t="s">
        <v>209</v>
      </c>
      <c r="C34" s="197" t="s">
        <v>210</v>
      </c>
      <c r="D34" s="199">
        <v>8673122.9999999981</v>
      </c>
      <c r="E34" s="200">
        <v>8094247.6292669578</v>
      </c>
      <c r="F34" s="241"/>
      <c r="G34" s="233"/>
      <c r="H34" s="242"/>
      <c r="I34" s="242"/>
      <c r="J34" s="243"/>
      <c r="K34" s="243"/>
      <c r="L34" s="234"/>
      <c r="M34" s="242"/>
      <c r="N34" s="242"/>
      <c r="O34" s="243"/>
      <c r="P34" s="243"/>
      <c r="Q34" s="234"/>
    </row>
    <row r="35" spans="1:17" ht="12.75" x14ac:dyDescent="0.2">
      <c r="A35" s="195" t="s">
        <v>129</v>
      </c>
      <c r="B35" s="196" t="s">
        <v>62</v>
      </c>
      <c r="C35" s="197" t="s">
        <v>211</v>
      </c>
      <c r="D35" s="199">
        <v>-3901862.8961599763</v>
      </c>
      <c r="E35" s="200">
        <v>-3639797.4777611834</v>
      </c>
      <c r="F35" s="241"/>
      <c r="G35" s="233"/>
      <c r="H35" s="242"/>
      <c r="I35" s="242"/>
      <c r="J35" s="243"/>
      <c r="K35" s="243"/>
      <c r="L35" s="234"/>
      <c r="M35" s="242"/>
      <c r="N35" s="242"/>
      <c r="O35" s="243"/>
      <c r="P35" s="243"/>
      <c r="Q35" s="234"/>
    </row>
    <row r="36" spans="1:17" ht="12.75" x14ac:dyDescent="0.2">
      <c r="A36" s="195" t="s">
        <v>130</v>
      </c>
      <c r="B36" s="196" t="s">
        <v>212</v>
      </c>
      <c r="C36" s="197" t="s">
        <v>213</v>
      </c>
      <c r="D36" s="209"/>
      <c r="E36" s="209"/>
      <c r="F36" s="241"/>
      <c r="G36" s="233"/>
      <c r="H36" s="242"/>
      <c r="I36" s="242"/>
      <c r="J36" s="243"/>
      <c r="K36" s="243"/>
      <c r="L36" s="234"/>
      <c r="M36" s="242"/>
      <c r="N36" s="242"/>
      <c r="O36" s="243"/>
      <c r="P36" s="243"/>
      <c r="Q36" s="234"/>
    </row>
    <row r="37" spans="1:17" ht="12.75" x14ac:dyDescent="0.2">
      <c r="A37" s="195" t="s">
        <v>131</v>
      </c>
      <c r="B37" s="196" t="s">
        <v>214</v>
      </c>
      <c r="C37" s="197" t="s">
        <v>215</v>
      </c>
      <c r="D37" s="209"/>
      <c r="E37" s="209"/>
      <c r="F37" s="241"/>
      <c r="G37" s="233"/>
      <c r="H37" s="242"/>
      <c r="I37" s="242"/>
      <c r="J37" s="243"/>
      <c r="K37" s="243"/>
      <c r="L37" s="234"/>
      <c r="M37" s="242"/>
      <c r="N37" s="242"/>
      <c r="O37" s="243"/>
      <c r="P37" s="243"/>
      <c r="Q37" s="234"/>
    </row>
    <row r="38" spans="1:17" x14ac:dyDescent="0.25">
      <c r="A38" s="195" t="s">
        <v>132</v>
      </c>
      <c r="B38" s="196" t="s">
        <v>216</v>
      </c>
      <c r="C38" s="197" t="s">
        <v>217</v>
      </c>
      <c r="D38" s="199">
        <v>2486977.5937501243</v>
      </c>
      <c r="E38" s="200">
        <v>2227269.9147748454</v>
      </c>
      <c r="F38" s="244"/>
      <c r="G38" s="233"/>
      <c r="H38" s="242"/>
      <c r="I38" s="242"/>
      <c r="J38" s="243"/>
      <c r="K38" s="243"/>
      <c r="L38" s="234"/>
      <c r="M38" s="242"/>
      <c r="N38" s="242"/>
      <c r="O38" s="243"/>
      <c r="P38" s="243"/>
      <c r="Q38" s="234"/>
    </row>
    <row r="39" spans="1:17" ht="12.75" x14ac:dyDescent="0.2">
      <c r="A39" s="195" t="s">
        <v>133</v>
      </c>
      <c r="B39" s="196" t="s">
        <v>128</v>
      </c>
      <c r="C39" s="197" t="s">
        <v>218</v>
      </c>
      <c r="D39" s="236"/>
      <c r="E39" s="236"/>
      <c r="F39" s="235"/>
      <c r="G39" s="233"/>
      <c r="H39" s="242"/>
      <c r="I39" s="242"/>
      <c r="J39" s="243"/>
      <c r="K39" s="243"/>
      <c r="L39" s="234"/>
      <c r="M39" s="242"/>
      <c r="N39" s="242"/>
      <c r="O39" s="243"/>
      <c r="P39" s="243"/>
      <c r="Q39" s="234"/>
    </row>
    <row r="40" spans="1:17" ht="12.75" x14ac:dyDescent="0.2">
      <c r="A40" s="195" t="s">
        <v>134</v>
      </c>
      <c r="B40" s="196" t="s">
        <v>128</v>
      </c>
      <c r="C40" s="197" t="s">
        <v>219</v>
      </c>
      <c r="D40" s="236"/>
      <c r="E40" s="236"/>
      <c r="F40" s="235"/>
      <c r="G40" s="233"/>
      <c r="H40" s="242"/>
      <c r="I40" s="242"/>
      <c r="J40" s="243"/>
      <c r="K40" s="243"/>
      <c r="L40" s="234"/>
      <c r="M40" s="242"/>
      <c r="N40" s="242"/>
      <c r="O40" s="243"/>
      <c r="P40" s="243"/>
      <c r="Q40" s="234"/>
    </row>
    <row r="41" spans="1:17" ht="12.75" x14ac:dyDescent="0.2">
      <c r="A41" s="201"/>
      <c r="B41" s="202"/>
      <c r="C41" s="203"/>
      <c r="D41" s="209"/>
      <c r="E41" s="209"/>
      <c r="F41" s="241"/>
      <c r="G41" s="233"/>
      <c r="H41" s="234"/>
      <c r="I41" s="245"/>
      <c r="J41" s="234"/>
      <c r="K41" s="234"/>
      <c r="L41" s="234"/>
      <c r="M41" s="234"/>
      <c r="N41" s="234"/>
      <c r="O41" s="234"/>
      <c r="P41" s="234"/>
      <c r="Q41" s="234"/>
    </row>
    <row r="42" spans="1:17" ht="12.75" x14ac:dyDescent="0.2">
      <c r="A42" s="205"/>
      <c r="B42" s="179"/>
      <c r="C42" s="178"/>
      <c r="D42" s="206">
        <v>116941853.56119721</v>
      </c>
      <c r="E42" s="207">
        <v>108683854.52664019</v>
      </c>
      <c r="F42" s="240"/>
      <c r="G42" s="233"/>
      <c r="H42" s="234"/>
      <c r="I42" s="245"/>
      <c r="J42" s="234"/>
      <c r="K42" s="234"/>
      <c r="L42" s="234"/>
      <c r="M42" s="234"/>
      <c r="N42" s="234"/>
      <c r="O42" s="234"/>
      <c r="P42" s="234"/>
      <c r="Q42" s="234"/>
    </row>
    <row r="43" spans="1:17" ht="12.75" x14ac:dyDescent="0.2">
      <c r="A43" s="187" t="s">
        <v>63</v>
      </c>
      <c r="B43" s="188"/>
      <c r="C43" s="189"/>
      <c r="D43" s="209"/>
      <c r="E43" s="209"/>
      <c r="F43" s="241"/>
      <c r="G43" s="230"/>
      <c r="I43" s="215"/>
    </row>
    <row r="44" spans="1:17" ht="12.75" x14ac:dyDescent="0.2">
      <c r="A44" s="195">
        <v>1</v>
      </c>
      <c r="B44" s="196" t="s">
        <v>220</v>
      </c>
      <c r="C44" s="216" t="s">
        <v>221</v>
      </c>
      <c r="D44" s="209"/>
      <c r="E44" s="209"/>
      <c r="F44" s="210"/>
      <c r="I44" s="215"/>
    </row>
    <row r="45" spans="1:17" ht="12.75" x14ac:dyDescent="0.2">
      <c r="A45" s="195">
        <v>2</v>
      </c>
      <c r="B45" s="196" t="s">
        <v>40</v>
      </c>
      <c r="C45" s="217" t="s">
        <v>222</v>
      </c>
      <c r="D45" s="199">
        <v>15020012</v>
      </c>
      <c r="E45" s="200">
        <v>14011205.223880591</v>
      </c>
      <c r="F45" s="214"/>
      <c r="I45" s="215"/>
    </row>
    <row r="46" spans="1:17" ht="12.75" x14ac:dyDescent="0.2">
      <c r="A46" s="195"/>
      <c r="B46" s="196"/>
      <c r="C46" s="218"/>
      <c r="D46" s="213"/>
      <c r="E46" s="213"/>
      <c r="F46" s="214"/>
      <c r="I46" s="215"/>
    </row>
    <row r="47" spans="1:17" ht="12.75" x14ac:dyDescent="0.2">
      <c r="A47" s="246"/>
      <c r="B47" s="180"/>
      <c r="C47" s="247"/>
      <c r="D47" s="206">
        <v>15020012</v>
      </c>
      <c r="E47" s="207">
        <v>14011205.223880591</v>
      </c>
      <c r="F47" s="208"/>
      <c r="I47" s="215"/>
    </row>
    <row r="48" spans="1:17" ht="12.75" x14ac:dyDescent="0.2">
      <c r="A48" s="187" t="s">
        <v>64</v>
      </c>
      <c r="B48" s="188"/>
      <c r="C48" s="189"/>
      <c r="D48" s="209"/>
      <c r="E48" s="209"/>
      <c r="F48" s="210"/>
      <c r="I48" s="215"/>
    </row>
    <row r="49" spans="1:9" ht="12.75" x14ac:dyDescent="0.2">
      <c r="A49" s="195" t="s">
        <v>122</v>
      </c>
      <c r="B49" s="196" t="s">
        <v>137</v>
      </c>
      <c r="C49" s="197" t="s">
        <v>223</v>
      </c>
      <c r="D49" s="199">
        <v>26351</v>
      </c>
      <c r="E49" s="200">
        <v>25386.319845857412</v>
      </c>
      <c r="F49" s="210"/>
      <c r="I49" s="215"/>
    </row>
    <row r="50" spans="1:9" ht="12.75" x14ac:dyDescent="0.2">
      <c r="A50" s="195" t="s">
        <v>123</v>
      </c>
      <c r="B50" s="196" t="s">
        <v>137</v>
      </c>
      <c r="C50" s="197" t="s">
        <v>223</v>
      </c>
      <c r="D50" s="199">
        <v>-39423.000000000007</v>
      </c>
      <c r="E50" s="200">
        <v>-37979.768786127177</v>
      </c>
      <c r="F50" s="210"/>
      <c r="I50" s="215"/>
    </row>
    <row r="51" spans="1:9" ht="12.75" x14ac:dyDescent="0.2">
      <c r="A51" s="195" t="s">
        <v>124</v>
      </c>
      <c r="B51" s="196" t="s">
        <v>2</v>
      </c>
      <c r="C51" s="197" t="s">
        <v>223</v>
      </c>
      <c r="D51" s="199">
        <v>-26781</v>
      </c>
      <c r="E51" s="200">
        <v>-25800.578034682083</v>
      </c>
      <c r="F51" s="210"/>
      <c r="I51" s="215"/>
    </row>
    <row r="52" spans="1:9" ht="12.75" x14ac:dyDescent="0.2">
      <c r="A52" s="195" t="s">
        <v>125</v>
      </c>
      <c r="B52" s="196" t="s">
        <v>3</v>
      </c>
      <c r="C52" s="197" t="s">
        <v>223</v>
      </c>
      <c r="D52" s="199">
        <v>70082.000000000015</v>
      </c>
      <c r="E52" s="200">
        <v>67516.37764932563</v>
      </c>
      <c r="F52" s="210"/>
      <c r="I52" s="215"/>
    </row>
    <row r="53" spans="1:9" ht="12.75" x14ac:dyDescent="0.2">
      <c r="A53" s="195" t="s">
        <v>126</v>
      </c>
      <c r="B53" s="196" t="s">
        <v>5</v>
      </c>
      <c r="C53" s="197" t="s">
        <v>223</v>
      </c>
      <c r="D53" s="199">
        <v>1823451.9999999998</v>
      </c>
      <c r="E53" s="200">
        <v>1756697.4951830441</v>
      </c>
      <c r="F53" s="210"/>
      <c r="I53" s="215"/>
    </row>
    <row r="54" spans="1:9" ht="12.75" x14ac:dyDescent="0.2">
      <c r="A54" s="201"/>
      <c r="B54" s="202"/>
      <c r="C54" s="203"/>
      <c r="D54" s="209"/>
      <c r="E54" s="209"/>
      <c r="F54" s="210"/>
      <c r="I54" s="215"/>
    </row>
    <row r="55" spans="1:9" ht="12.75" x14ac:dyDescent="0.2">
      <c r="A55" s="205"/>
      <c r="B55" s="179"/>
      <c r="C55" s="178"/>
      <c r="D55" s="206">
        <v>1853680.9999999998</v>
      </c>
      <c r="E55" s="207">
        <v>1785819.8458574179</v>
      </c>
      <c r="F55" s="219"/>
      <c r="I55" s="215"/>
    </row>
    <row r="56" spans="1:9" ht="12.75" x14ac:dyDescent="0.2">
      <c r="A56" s="187" t="s">
        <v>65</v>
      </c>
      <c r="B56" s="188"/>
      <c r="C56" s="189"/>
      <c r="D56" s="209"/>
      <c r="E56" s="209"/>
      <c r="F56" s="210"/>
      <c r="I56" s="215"/>
    </row>
    <row r="57" spans="1:9" ht="12.75" x14ac:dyDescent="0.2">
      <c r="A57" s="195" t="s">
        <v>122</v>
      </c>
      <c r="B57" s="196" t="s">
        <v>224</v>
      </c>
      <c r="C57" s="197" t="s">
        <v>225</v>
      </c>
      <c r="D57" s="199">
        <v>13509658</v>
      </c>
      <c r="E57" s="200">
        <v>13116868.789954785</v>
      </c>
      <c r="F57" s="210"/>
      <c r="I57" s="215"/>
    </row>
    <row r="58" spans="1:9" ht="12.75" x14ac:dyDescent="0.2">
      <c r="A58" s="195" t="s">
        <v>123</v>
      </c>
      <c r="B58" s="196" t="s">
        <v>226</v>
      </c>
      <c r="C58" s="197" t="s">
        <v>227</v>
      </c>
      <c r="D58" s="209"/>
      <c r="E58" s="209"/>
      <c r="F58" s="210"/>
      <c r="I58" s="215"/>
    </row>
    <row r="59" spans="1:9" ht="12.75" x14ac:dyDescent="0.2">
      <c r="A59" s="195" t="s">
        <v>124</v>
      </c>
      <c r="B59" s="196" t="s">
        <v>228</v>
      </c>
      <c r="C59" s="197" t="s">
        <v>229</v>
      </c>
      <c r="D59" s="209"/>
      <c r="E59" s="209"/>
      <c r="F59" s="210"/>
      <c r="I59" s="215"/>
    </row>
    <row r="60" spans="1:9" ht="12.75" x14ac:dyDescent="0.2">
      <c r="A60" s="195"/>
      <c r="B60" s="196"/>
      <c r="C60" s="197"/>
      <c r="D60" s="209"/>
      <c r="E60" s="209"/>
      <c r="F60" s="210"/>
      <c r="I60" s="215"/>
    </row>
    <row r="61" spans="1:9" ht="12.75" x14ac:dyDescent="0.2">
      <c r="A61" s="248"/>
      <c r="B61" s="249"/>
      <c r="C61" s="250"/>
      <c r="D61" s="206">
        <v>13509658</v>
      </c>
      <c r="E61" s="207">
        <v>13116868.789954785</v>
      </c>
      <c r="F61" s="219"/>
    </row>
    <row r="62" spans="1:9" ht="12.75" x14ac:dyDescent="0.2">
      <c r="A62" s="220" t="s">
        <v>230</v>
      </c>
      <c r="D62" s="221"/>
      <c r="E62" s="221"/>
      <c r="F62" s="222"/>
    </row>
    <row r="63" spans="1:9" ht="12.75" x14ac:dyDescent="0.2">
      <c r="D63" s="221"/>
      <c r="E63" s="221"/>
      <c r="F63" s="222"/>
    </row>
    <row r="64" spans="1:9" ht="12.75" x14ac:dyDescent="0.2">
      <c r="D64" s="221"/>
      <c r="E64" s="221"/>
      <c r="F64" s="222"/>
    </row>
    <row r="65" spans="4:6" ht="12.75" x14ac:dyDescent="0.2">
      <c r="D65" s="221"/>
      <c r="E65" s="221"/>
      <c r="F65" s="222"/>
    </row>
    <row r="66" spans="4:6" ht="12.75" x14ac:dyDescent="0.2">
      <c r="D66" s="221"/>
      <c r="E66" s="221"/>
      <c r="F66" s="222"/>
    </row>
    <row r="67" spans="4:6" ht="12.75" x14ac:dyDescent="0.2">
      <c r="D67" s="221"/>
      <c r="E67" s="221"/>
      <c r="F67" s="222"/>
    </row>
    <row r="68" spans="4:6" x14ac:dyDescent="0.25">
      <c r="D68" s="52"/>
      <c r="E68" s="52"/>
      <c r="F68" s="224"/>
    </row>
    <row r="69" spans="4:6" x14ac:dyDescent="0.25">
      <c r="D69" s="52"/>
      <c r="E69" s="52"/>
      <c r="F69" s="224"/>
    </row>
    <row r="70" spans="4:6" x14ac:dyDescent="0.25">
      <c r="D70" s="52"/>
      <c r="E70" s="52"/>
      <c r="F70" s="224"/>
    </row>
    <row r="71" spans="4:6" x14ac:dyDescent="0.25">
      <c r="D71" s="52"/>
      <c r="E71" s="52"/>
      <c r="F71" s="224"/>
    </row>
    <row r="72" spans="4:6" x14ac:dyDescent="0.25">
      <c r="D72" s="52"/>
      <c r="E72" s="52"/>
      <c r="F72" s="224"/>
    </row>
    <row r="73" spans="4:6" x14ac:dyDescent="0.25">
      <c r="D73" s="52"/>
      <c r="E73" s="52"/>
      <c r="F73" s="224"/>
    </row>
    <row r="74" spans="4:6" x14ac:dyDescent="0.25">
      <c r="D74" s="52"/>
      <c r="E74" s="52"/>
      <c r="F74" s="224"/>
    </row>
    <row r="75" spans="4:6" x14ac:dyDescent="0.25">
      <c r="D75" s="52"/>
      <c r="E75" s="52"/>
      <c r="F75" s="224"/>
    </row>
    <row r="76" spans="4:6" x14ac:dyDescent="0.25">
      <c r="D76" s="52"/>
      <c r="E76" s="52"/>
      <c r="F76" s="224"/>
    </row>
    <row r="77" spans="4:6" x14ac:dyDescent="0.25">
      <c r="D77" s="52"/>
      <c r="E77" s="52"/>
      <c r="F77" s="224"/>
    </row>
    <row r="78" spans="4:6" x14ac:dyDescent="0.25">
      <c r="D78" s="52"/>
      <c r="E78" s="52"/>
      <c r="F78" s="224"/>
    </row>
    <row r="79" spans="4:6" x14ac:dyDescent="0.25">
      <c r="D79" s="52"/>
      <c r="E79" s="52"/>
      <c r="F79" s="224"/>
    </row>
    <row r="80" spans="4:6" x14ac:dyDescent="0.25">
      <c r="D80" s="52"/>
      <c r="E80" s="52"/>
      <c r="F80" s="224"/>
    </row>
    <row r="81" spans="4:6" x14ac:dyDescent="0.25">
      <c r="D81" s="52"/>
      <c r="E81" s="52"/>
      <c r="F81" s="224"/>
    </row>
    <row r="82" spans="4:6" x14ac:dyDescent="0.25">
      <c r="D82" s="52"/>
      <c r="E82" s="52"/>
      <c r="F82" s="224"/>
    </row>
    <row r="83" spans="4:6" x14ac:dyDescent="0.25">
      <c r="D83" s="52"/>
      <c r="E83" s="52"/>
      <c r="F83" s="224"/>
    </row>
    <row r="84" spans="4:6" x14ac:dyDescent="0.25">
      <c r="D84" s="52"/>
      <c r="E84" s="52"/>
      <c r="F84" s="224"/>
    </row>
    <row r="85" spans="4:6" x14ac:dyDescent="0.25">
      <c r="D85" s="52"/>
      <c r="E85" s="52"/>
      <c r="F85" s="224"/>
    </row>
    <row r="86" spans="4:6" x14ac:dyDescent="0.25">
      <c r="D86" s="52"/>
      <c r="E86" s="52"/>
      <c r="F86" s="224"/>
    </row>
    <row r="87" spans="4:6" x14ac:dyDescent="0.25">
      <c r="D87" s="52"/>
      <c r="E87" s="52"/>
      <c r="F87" s="224"/>
    </row>
    <row r="88" spans="4:6" x14ac:dyDescent="0.25">
      <c r="D88" s="52"/>
      <c r="E88" s="52"/>
      <c r="F88" s="224"/>
    </row>
    <row r="89" spans="4:6" x14ac:dyDescent="0.25">
      <c r="D89" s="52"/>
      <c r="E89" s="52"/>
      <c r="F89" s="224"/>
    </row>
    <row r="90" spans="4:6" x14ac:dyDescent="0.25">
      <c r="D90" s="52"/>
      <c r="E90" s="52"/>
      <c r="F90" s="224"/>
    </row>
    <row r="91" spans="4:6" x14ac:dyDescent="0.25">
      <c r="D91" s="52"/>
      <c r="E91" s="52"/>
      <c r="F91" s="224"/>
    </row>
    <row r="92" spans="4:6" x14ac:dyDescent="0.25">
      <c r="D92" s="52"/>
      <c r="E92" s="52"/>
      <c r="F92" s="224"/>
    </row>
    <row r="93" spans="4:6" x14ac:dyDescent="0.25">
      <c r="D93" s="52"/>
      <c r="E93" s="52"/>
      <c r="F93" s="224"/>
    </row>
    <row r="94" spans="4:6" x14ac:dyDescent="0.25">
      <c r="D94" s="52"/>
      <c r="E94" s="52"/>
      <c r="F94" s="224"/>
    </row>
    <row r="95" spans="4:6" x14ac:dyDescent="0.25">
      <c r="D95" s="52"/>
      <c r="E95" s="52"/>
      <c r="F95" s="224"/>
    </row>
    <row r="96" spans="4:6" x14ac:dyDescent="0.25">
      <c r="D96" s="52"/>
      <c r="E96" s="52"/>
      <c r="F96" s="224"/>
    </row>
    <row r="97" spans="4:6" x14ac:dyDescent="0.25">
      <c r="D97" s="52"/>
      <c r="E97" s="52"/>
      <c r="F97" s="224"/>
    </row>
    <row r="98" spans="4:6" x14ac:dyDescent="0.25">
      <c r="D98" s="52"/>
      <c r="E98" s="52"/>
      <c r="F98" s="224"/>
    </row>
  </sheetData>
  <mergeCells count="4">
    <mergeCell ref="A1:H1"/>
    <mergeCell ref="H3:K3"/>
    <mergeCell ref="M3:N3"/>
    <mergeCell ref="O3:P3"/>
  </mergeCells>
  <pageMargins left="0.7" right="0.7" top="0.75" bottom="0.75" header="0.3" footer="0.3"/>
  <pageSetup paperSize="9" scale="19" orientation="portrait" horizontalDpi="300" verticalDpi="300" r:id="rId1"/>
  <ignoredErrors>
    <ignoredError sqref="O4:P4 J4:K4" numberStoredAsText="1"/>
    <ignoredError sqref="K7:K24 P7:P24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ColWidth="8.85546875" defaultRowHeight="12" x14ac:dyDescent="0.2"/>
  <cols>
    <col min="1" max="1" width="8.5703125" style="107" customWidth="1"/>
    <col min="2" max="2" width="39.28515625" style="107" customWidth="1"/>
    <col min="3" max="6" width="12.85546875" style="107" customWidth="1"/>
    <col min="7" max="16384" width="8.85546875" style="107"/>
  </cols>
  <sheetData>
    <row r="1" spans="1:12" ht="15.75" x14ac:dyDescent="0.25">
      <c r="A1" s="72"/>
    </row>
    <row r="2" spans="1:12" ht="13.5" customHeight="1" x14ac:dyDescent="0.2">
      <c r="A2" s="108" t="s">
        <v>232</v>
      </c>
    </row>
    <row r="3" spans="1:12" ht="14.45" customHeight="1" x14ac:dyDescent="0.2">
      <c r="A3" s="93"/>
    </row>
    <row r="4" spans="1:12" ht="12" customHeight="1" x14ac:dyDescent="0.2">
      <c r="A4" s="294" t="s">
        <v>12</v>
      </c>
      <c r="B4" s="294" t="s">
        <v>0</v>
      </c>
      <c r="C4" s="296">
        <v>2013</v>
      </c>
      <c r="D4" s="297"/>
      <c r="E4" s="296">
        <v>2014</v>
      </c>
      <c r="F4" s="297"/>
      <c r="H4" s="110"/>
    </row>
    <row r="5" spans="1:12" ht="54" customHeight="1" x14ac:dyDescent="0.2">
      <c r="A5" s="295"/>
      <c r="B5" s="295"/>
      <c r="C5" s="12" t="s">
        <v>31</v>
      </c>
      <c r="D5" s="12" t="s">
        <v>30</v>
      </c>
      <c r="E5" s="12" t="s">
        <v>31</v>
      </c>
      <c r="F5" s="12" t="s">
        <v>30</v>
      </c>
      <c r="H5" s="110"/>
    </row>
    <row r="6" spans="1:12" ht="13.5" customHeight="1" x14ac:dyDescent="0.2">
      <c r="A6" s="74">
        <v>1301</v>
      </c>
      <c r="B6" s="4" t="s">
        <v>1</v>
      </c>
      <c r="C6" s="76">
        <v>4849029</v>
      </c>
      <c r="D6" s="29">
        <v>2394875</v>
      </c>
      <c r="E6" s="29">
        <v>4972467</v>
      </c>
      <c r="F6" s="29">
        <v>2681048</v>
      </c>
      <c r="G6" s="52"/>
      <c r="H6" s="111"/>
      <c r="I6" s="109"/>
      <c r="J6" s="109"/>
      <c r="L6" s="109"/>
    </row>
    <row r="7" spans="1:12" ht="13.5" customHeight="1" x14ac:dyDescent="0.2">
      <c r="A7" s="75">
        <v>1309</v>
      </c>
      <c r="B7" s="7" t="s">
        <v>137</v>
      </c>
      <c r="C7" s="76">
        <v>1891635</v>
      </c>
      <c r="D7" s="29">
        <v>992968</v>
      </c>
      <c r="E7" s="29">
        <v>1906894</v>
      </c>
      <c r="F7" s="29">
        <v>1113453</v>
      </c>
      <c r="G7" s="52"/>
      <c r="H7" s="111"/>
      <c r="I7" s="109"/>
      <c r="J7" s="109"/>
      <c r="L7" s="109"/>
    </row>
    <row r="8" spans="1:12" ht="13.5" customHeight="1" x14ac:dyDescent="0.2">
      <c r="A8" s="75">
        <v>1330</v>
      </c>
      <c r="B8" s="7" t="s">
        <v>138</v>
      </c>
      <c r="C8" s="76">
        <v>2095946</v>
      </c>
      <c r="D8" s="29">
        <v>836988</v>
      </c>
      <c r="E8" s="29">
        <v>2175058</v>
      </c>
      <c r="F8" s="29">
        <v>934356</v>
      </c>
      <c r="G8" s="52"/>
      <c r="H8" s="111"/>
      <c r="I8" s="109"/>
      <c r="J8" s="109"/>
      <c r="L8" s="109"/>
    </row>
    <row r="9" spans="1:12" ht="13.5" customHeight="1" x14ac:dyDescent="0.2">
      <c r="A9" s="75">
        <v>1501</v>
      </c>
      <c r="B9" s="7" t="s">
        <v>2</v>
      </c>
      <c r="C9" s="76">
        <v>818918</v>
      </c>
      <c r="D9" s="29">
        <v>704590</v>
      </c>
      <c r="E9" s="29">
        <v>814781</v>
      </c>
      <c r="F9" s="29">
        <v>822320</v>
      </c>
      <c r="G9" s="52"/>
      <c r="H9" s="111"/>
      <c r="I9" s="109"/>
      <c r="J9" s="109"/>
      <c r="L9" s="109"/>
    </row>
    <row r="10" spans="1:12" ht="13.5" customHeight="1" x14ac:dyDescent="0.2">
      <c r="A10" s="75">
        <v>1502</v>
      </c>
      <c r="B10" s="7" t="s">
        <v>3</v>
      </c>
      <c r="C10" s="76">
        <v>1123400</v>
      </c>
      <c r="D10" s="29">
        <v>934764</v>
      </c>
      <c r="E10" s="29">
        <v>1143526</v>
      </c>
      <c r="F10" s="29">
        <v>1013339</v>
      </c>
      <c r="G10" s="52"/>
      <c r="H10" s="111"/>
      <c r="I10" s="109"/>
      <c r="J10" s="109"/>
      <c r="L10" s="109"/>
    </row>
    <row r="11" spans="1:12" ht="13.5" customHeight="1" x14ac:dyDescent="0.2">
      <c r="A11" s="75">
        <v>1516</v>
      </c>
      <c r="B11" s="7" t="s">
        <v>4</v>
      </c>
      <c r="C11" s="76">
        <v>2295238</v>
      </c>
      <c r="D11" s="29">
        <v>1768264</v>
      </c>
      <c r="E11" s="29">
        <v>2437352</v>
      </c>
      <c r="F11" s="29">
        <v>2082995</v>
      </c>
      <c r="G11" s="52"/>
      <c r="H11" s="111"/>
      <c r="I11" s="109"/>
      <c r="J11" s="109"/>
      <c r="L11" s="109"/>
    </row>
    <row r="12" spans="1:12" ht="13.5" customHeight="1" x14ac:dyDescent="0.2">
      <c r="A12" s="75">
        <v>2000</v>
      </c>
      <c r="B12" s="7" t="s">
        <v>5</v>
      </c>
      <c r="C12" s="76">
        <v>1738487</v>
      </c>
      <c r="D12" s="29">
        <v>819948</v>
      </c>
      <c r="E12" s="29">
        <v>1863012</v>
      </c>
      <c r="F12" s="29">
        <v>931626</v>
      </c>
      <c r="G12" s="52"/>
      <c r="H12" s="111"/>
      <c r="I12" s="109"/>
      <c r="J12" s="109"/>
      <c r="L12" s="109"/>
    </row>
    <row r="13" spans="1:12" ht="13.5" customHeight="1" x14ac:dyDescent="0.2">
      <c r="A13" s="75">
        <v>4001</v>
      </c>
      <c r="B13" s="7" t="s">
        <v>6</v>
      </c>
      <c r="C13" s="76">
        <v>220021</v>
      </c>
      <c r="D13" s="29">
        <v>135102</v>
      </c>
      <c r="E13" s="29">
        <v>227214</v>
      </c>
      <c r="F13" s="29">
        <v>161804</v>
      </c>
      <c r="G13" s="52"/>
      <c r="H13" s="111"/>
      <c r="J13" s="109"/>
      <c r="L13" s="109"/>
    </row>
    <row r="14" spans="1:12" ht="13.5" customHeight="1" x14ac:dyDescent="0.2">
      <c r="A14" s="75">
        <v>3810</v>
      </c>
      <c r="B14" s="7" t="s">
        <v>114</v>
      </c>
      <c r="C14" s="76">
        <v>1883777</v>
      </c>
      <c r="D14" s="29">
        <v>1369749</v>
      </c>
      <c r="E14" s="29">
        <v>1980330</v>
      </c>
      <c r="F14" s="29">
        <v>1604774</v>
      </c>
      <c r="G14" s="52"/>
      <c r="H14" s="111"/>
      <c r="J14" s="109"/>
      <c r="L14" s="109"/>
    </row>
    <row r="15" spans="1:12" ht="13.5" customHeight="1" x14ac:dyDescent="0.2">
      <c r="A15" s="75">
        <v>3820</v>
      </c>
      <c r="B15" s="7" t="s">
        <v>108</v>
      </c>
      <c r="C15" s="76">
        <v>799482</v>
      </c>
      <c r="D15" s="29">
        <v>408529</v>
      </c>
      <c r="E15" s="29">
        <v>842354</v>
      </c>
      <c r="F15" s="29">
        <v>421681</v>
      </c>
      <c r="G15" s="52"/>
      <c r="H15" s="111"/>
      <c r="J15" s="109"/>
      <c r="L15" s="109"/>
    </row>
    <row r="16" spans="1:12" ht="13.5" customHeight="1" x14ac:dyDescent="0.2">
      <c r="A16" s="75">
        <v>3830</v>
      </c>
      <c r="B16" s="7" t="s">
        <v>115</v>
      </c>
      <c r="C16" s="76">
        <v>1740734</v>
      </c>
      <c r="D16" s="29">
        <v>1292982</v>
      </c>
      <c r="E16" s="29">
        <v>1804017</v>
      </c>
      <c r="F16" s="29">
        <v>1296384</v>
      </c>
      <c r="G16" s="52"/>
      <c r="H16" s="111"/>
      <c r="J16" s="109"/>
      <c r="L16" s="109"/>
    </row>
    <row r="17" spans="1:12" ht="13.5" customHeight="1" x14ac:dyDescent="0.2">
      <c r="A17" s="75">
        <v>3840</v>
      </c>
      <c r="B17" s="7" t="s">
        <v>116</v>
      </c>
      <c r="C17" s="76">
        <v>681977</v>
      </c>
      <c r="D17" s="29">
        <v>188972</v>
      </c>
      <c r="E17" s="29">
        <v>662582</v>
      </c>
      <c r="F17" s="29">
        <v>202881</v>
      </c>
      <c r="G17" s="52"/>
      <c r="H17" s="111"/>
      <c r="J17" s="109"/>
      <c r="L17" s="109"/>
    </row>
    <row r="18" spans="1:12" ht="13.5" customHeight="1" x14ac:dyDescent="0.2">
      <c r="A18" s="75">
        <v>4200</v>
      </c>
      <c r="B18" s="7" t="s">
        <v>7</v>
      </c>
      <c r="C18" s="76">
        <v>4054212</v>
      </c>
      <c r="D18" s="29">
        <v>3186168</v>
      </c>
      <c r="E18" s="29">
        <v>4022279</v>
      </c>
      <c r="F18" s="29">
        <v>3418716</v>
      </c>
      <c r="G18" s="52"/>
      <c r="H18" s="110"/>
      <c r="J18" s="109"/>
      <c r="L18" s="109"/>
    </row>
    <row r="19" spans="1:12" ht="13.5" customHeight="1" x14ac:dyDescent="0.2">
      <c r="A19" s="75">
        <v>5000</v>
      </c>
      <c r="B19" s="7" t="s">
        <v>40</v>
      </c>
      <c r="C19" s="76">
        <v>1051737</v>
      </c>
      <c r="D19" s="29">
        <v>922426</v>
      </c>
      <c r="E19" s="29">
        <v>1040186</v>
      </c>
      <c r="F19" s="29">
        <v>949234</v>
      </c>
      <c r="G19" s="52"/>
      <c r="H19" s="111"/>
      <c r="J19" s="109"/>
      <c r="L19" s="109"/>
    </row>
    <row r="20" spans="1:12" ht="13.5" customHeight="1" x14ac:dyDescent="0.2">
      <c r="A20" s="75">
        <v>5501</v>
      </c>
      <c r="B20" s="7" t="s">
        <v>8</v>
      </c>
      <c r="C20" s="76">
        <v>1100922</v>
      </c>
      <c r="D20" s="29">
        <v>863602</v>
      </c>
      <c r="E20" s="29">
        <v>1116159</v>
      </c>
      <c r="F20" s="29">
        <v>925026</v>
      </c>
      <c r="G20" s="52"/>
      <c r="H20" s="111"/>
      <c r="J20" s="109"/>
      <c r="L20" s="109"/>
    </row>
    <row r="21" spans="1:12" ht="13.5" customHeight="1" x14ac:dyDescent="0.2">
      <c r="A21" s="75">
        <v>6007</v>
      </c>
      <c r="B21" s="7" t="s">
        <v>111</v>
      </c>
      <c r="C21" s="76">
        <v>992320</v>
      </c>
      <c r="D21" s="29">
        <v>595846</v>
      </c>
      <c r="E21" s="29">
        <v>965407</v>
      </c>
      <c r="F21" s="29">
        <v>622493</v>
      </c>
      <c r="G21" s="52"/>
      <c r="H21" s="111"/>
      <c r="J21" s="109"/>
      <c r="L21" s="109"/>
    </row>
    <row r="22" spans="1:12" ht="13.5" customHeight="1" x14ac:dyDescent="0.2">
      <c r="A22" s="75">
        <v>6008</v>
      </c>
      <c r="B22" s="7" t="s">
        <v>135</v>
      </c>
      <c r="C22" s="76">
        <v>770818</v>
      </c>
      <c r="D22" s="29">
        <v>1315029</v>
      </c>
      <c r="E22" s="29">
        <v>814708</v>
      </c>
      <c r="F22" s="29">
        <v>1386444</v>
      </c>
      <c r="G22" s="52"/>
      <c r="H22" s="111"/>
      <c r="J22" s="109"/>
      <c r="L22" s="109"/>
    </row>
    <row r="23" spans="1:12" ht="13.5" customHeight="1" x14ac:dyDescent="0.2">
      <c r="A23" s="75">
        <v>6013</v>
      </c>
      <c r="B23" s="7" t="s">
        <v>109</v>
      </c>
      <c r="C23" s="76">
        <v>24632</v>
      </c>
      <c r="D23" s="29">
        <v>111816</v>
      </c>
      <c r="E23" s="29">
        <v>23340</v>
      </c>
      <c r="F23" s="29">
        <v>119560</v>
      </c>
      <c r="G23" s="52"/>
      <c r="H23" s="111"/>
      <c r="J23" s="109"/>
      <c r="L23" s="109"/>
    </row>
    <row r="24" spans="1:12" ht="13.5" customHeight="1" x14ac:dyDescent="0.2">
      <c r="A24" s="75">
        <v>6006</v>
      </c>
      <c r="B24" s="7" t="s">
        <v>117</v>
      </c>
      <c r="C24" s="76">
        <v>702477</v>
      </c>
      <c r="D24" s="29">
        <v>450123</v>
      </c>
      <c r="E24" s="29">
        <v>757578</v>
      </c>
      <c r="F24" s="29">
        <v>470345</v>
      </c>
      <c r="G24" s="52"/>
      <c r="H24" s="111"/>
      <c r="J24" s="109"/>
      <c r="L24" s="109"/>
    </row>
    <row r="25" spans="1:12" ht="13.5" customHeight="1" x14ac:dyDescent="0.2">
      <c r="A25" s="75">
        <v>6650</v>
      </c>
      <c r="B25" s="7" t="s">
        <v>57</v>
      </c>
      <c r="C25" s="76">
        <v>1429129</v>
      </c>
      <c r="D25" s="29">
        <v>1077242</v>
      </c>
      <c r="E25" s="29">
        <v>1419658</v>
      </c>
      <c r="F25" s="29">
        <v>1181055</v>
      </c>
      <c r="G25" s="52"/>
      <c r="H25" s="111"/>
      <c r="J25" s="109"/>
      <c r="L25" s="109"/>
    </row>
    <row r="26" spans="1:12" ht="13.5" customHeight="1" x14ac:dyDescent="0.2">
      <c r="A26" s="75">
        <v>6620</v>
      </c>
      <c r="B26" s="7" t="s">
        <v>56</v>
      </c>
      <c r="C26" s="76">
        <v>4341066</v>
      </c>
      <c r="D26" s="29">
        <v>2806379</v>
      </c>
      <c r="E26" s="29">
        <v>4288538</v>
      </c>
      <c r="F26" s="29">
        <v>3076684</v>
      </c>
      <c r="G26" s="52"/>
      <c r="H26" s="111"/>
      <c r="J26" s="109"/>
      <c r="L26" s="109"/>
    </row>
    <row r="27" spans="1:12" ht="13.5" customHeight="1" x14ac:dyDescent="0.2">
      <c r="A27" s="75">
        <v>7005</v>
      </c>
      <c r="B27" s="7" t="s">
        <v>58</v>
      </c>
      <c r="C27" s="76">
        <v>755621</v>
      </c>
      <c r="D27" s="29">
        <v>478767</v>
      </c>
      <c r="E27" s="29">
        <v>784113</v>
      </c>
      <c r="F27" s="29">
        <v>506090</v>
      </c>
      <c r="G27" s="52"/>
      <c r="H27" s="111"/>
      <c r="J27" s="109"/>
      <c r="L27" s="109"/>
    </row>
    <row r="28" spans="1:12" ht="13.5" customHeight="1" x14ac:dyDescent="0.2">
      <c r="A28" s="75">
        <v>6630</v>
      </c>
      <c r="B28" s="7" t="s">
        <v>104</v>
      </c>
      <c r="C28" s="76">
        <v>1763757</v>
      </c>
      <c r="D28" s="29">
        <v>957272</v>
      </c>
      <c r="E28" s="29">
        <v>1821147</v>
      </c>
      <c r="F28" s="29">
        <v>1031719</v>
      </c>
      <c r="G28" s="52"/>
      <c r="H28" s="111"/>
      <c r="J28" s="109"/>
      <c r="L28" s="109"/>
    </row>
    <row r="29" spans="1:12" ht="13.5" customHeight="1" x14ac:dyDescent="0.2">
      <c r="A29" s="75">
        <v>7603</v>
      </c>
      <c r="B29" s="7" t="s">
        <v>9</v>
      </c>
      <c r="C29" s="76">
        <v>286328</v>
      </c>
      <c r="D29" s="29">
        <v>132273</v>
      </c>
      <c r="E29" s="29">
        <v>274113</v>
      </c>
      <c r="F29" s="29">
        <v>138035</v>
      </c>
      <c r="G29" s="52"/>
      <c r="H29" s="111"/>
      <c r="J29" s="109"/>
      <c r="L29" s="109"/>
    </row>
    <row r="30" spans="1:12" ht="13.5" customHeight="1" x14ac:dyDescent="0.2">
      <c r="A30" s="75">
        <v>8001</v>
      </c>
      <c r="B30" s="7" t="s">
        <v>112</v>
      </c>
      <c r="C30" s="76">
        <v>2697592</v>
      </c>
      <c r="D30" s="29">
        <v>1782742</v>
      </c>
      <c r="E30" s="29">
        <v>2694345</v>
      </c>
      <c r="F30" s="29">
        <v>2038272</v>
      </c>
      <c r="G30" s="52"/>
      <c r="H30" s="111"/>
      <c r="J30" s="109"/>
      <c r="L30" s="109"/>
    </row>
    <row r="31" spans="1:12" ht="13.5" customHeight="1" x14ac:dyDescent="0.2">
      <c r="A31" s="75">
        <v>8003</v>
      </c>
      <c r="B31" s="7" t="s">
        <v>10</v>
      </c>
      <c r="C31" s="76">
        <v>690582</v>
      </c>
      <c r="D31" s="29">
        <v>403385</v>
      </c>
      <c r="E31" s="29">
        <v>651912</v>
      </c>
      <c r="F31" s="29">
        <v>428530</v>
      </c>
      <c r="G31" s="52"/>
      <c r="H31" s="111"/>
      <c r="J31" s="109"/>
      <c r="L31" s="109"/>
    </row>
    <row r="32" spans="1:12" ht="13.5" customHeight="1" x14ac:dyDescent="0.2">
      <c r="A32" s="13"/>
      <c r="B32" s="13" t="s">
        <v>20</v>
      </c>
      <c r="C32" s="14">
        <f t="shared" ref="C32:F32" si="0">SUM(C6:C31)</f>
        <v>40799837</v>
      </c>
      <c r="D32" s="14">
        <f t="shared" si="0"/>
        <v>26930801</v>
      </c>
      <c r="E32" s="14">
        <f t="shared" si="0"/>
        <v>41503070</v>
      </c>
      <c r="F32" s="14">
        <f t="shared" si="0"/>
        <v>29558864</v>
      </c>
      <c r="G32" s="110"/>
      <c r="H32" s="110"/>
    </row>
    <row r="33" spans="1:8" ht="13.5" customHeight="1" x14ac:dyDescent="0.2">
      <c r="A33" s="37"/>
      <c r="B33" s="15"/>
      <c r="C33" s="16"/>
      <c r="D33" s="16"/>
      <c r="E33" s="16"/>
      <c r="F33" s="16"/>
      <c r="G33" s="110"/>
      <c r="H33" s="110"/>
    </row>
    <row r="34" spans="1:8" ht="13.5" customHeight="1" x14ac:dyDescent="0.2">
      <c r="A34" s="37"/>
      <c r="B34" s="17" t="s">
        <v>34</v>
      </c>
      <c r="C34" s="18">
        <f t="shared" ref="C34:F34" si="1">SUM(C6:C13)</f>
        <v>15032674</v>
      </c>
      <c r="D34" s="18">
        <f t="shared" si="1"/>
        <v>8587499</v>
      </c>
      <c r="E34" s="18">
        <f t="shared" si="1"/>
        <v>15540304</v>
      </c>
      <c r="F34" s="6">
        <f t="shared" si="1"/>
        <v>9740941</v>
      </c>
      <c r="G34" s="110"/>
      <c r="H34" s="110"/>
    </row>
    <row r="35" spans="1:8" ht="13.5" customHeight="1" x14ac:dyDescent="0.2">
      <c r="A35" s="37"/>
      <c r="B35" s="19" t="s">
        <v>35</v>
      </c>
      <c r="C35" s="5">
        <f t="shared" ref="C35:F35" si="2">SUM(C14:C17)</f>
        <v>5105970</v>
      </c>
      <c r="D35" s="5">
        <f t="shared" si="2"/>
        <v>3260232</v>
      </c>
      <c r="E35" s="5">
        <f t="shared" si="2"/>
        <v>5289283</v>
      </c>
      <c r="F35" s="8">
        <f t="shared" si="2"/>
        <v>3525720</v>
      </c>
      <c r="G35" s="110"/>
      <c r="H35" s="110"/>
    </row>
    <row r="36" spans="1:8" ht="13.5" customHeight="1" x14ac:dyDescent="0.2">
      <c r="A36" s="37"/>
      <c r="B36" s="19" t="s">
        <v>36</v>
      </c>
      <c r="C36" s="5">
        <f t="shared" ref="C36:F36" si="3">SUM(C18:C23)</f>
        <v>7994641</v>
      </c>
      <c r="D36" s="5">
        <f t="shared" si="3"/>
        <v>6994887</v>
      </c>
      <c r="E36" s="5">
        <f t="shared" si="3"/>
        <v>7982079</v>
      </c>
      <c r="F36" s="8">
        <f t="shared" si="3"/>
        <v>7421473</v>
      </c>
      <c r="G36" s="110"/>
      <c r="H36" s="110"/>
    </row>
    <row r="37" spans="1:8" ht="13.5" customHeight="1" x14ac:dyDescent="0.2">
      <c r="A37" s="37"/>
      <c r="B37" s="19" t="s">
        <v>37</v>
      </c>
      <c r="C37" s="5">
        <f t="shared" ref="C37:F37" si="4">SUM(C24:C28)</f>
        <v>8992050</v>
      </c>
      <c r="D37" s="5">
        <f t="shared" si="4"/>
        <v>5769783</v>
      </c>
      <c r="E37" s="5">
        <f t="shared" si="4"/>
        <v>9071034</v>
      </c>
      <c r="F37" s="8">
        <f t="shared" si="4"/>
        <v>6265893</v>
      </c>
      <c r="G37" s="110"/>
      <c r="H37" s="110"/>
    </row>
    <row r="38" spans="1:8" ht="13.5" customHeight="1" x14ac:dyDescent="0.2">
      <c r="A38" s="38"/>
      <c r="B38" s="20" t="s">
        <v>38</v>
      </c>
      <c r="C38" s="10">
        <f t="shared" ref="C38:F38" si="5">+SUM(C29:C31)</f>
        <v>3674502</v>
      </c>
      <c r="D38" s="10">
        <f t="shared" si="5"/>
        <v>2318400</v>
      </c>
      <c r="E38" s="10">
        <f t="shared" si="5"/>
        <v>3620370</v>
      </c>
      <c r="F38" s="21">
        <f t="shared" si="5"/>
        <v>2604837</v>
      </c>
      <c r="G38" s="110"/>
      <c r="H38" s="110"/>
    </row>
    <row r="39" spans="1:8" ht="13.5" customHeight="1" x14ac:dyDescent="0.2">
      <c r="A39" s="38"/>
      <c r="B39" s="13" t="s">
        <v>20</v>
      </c>
      <c r="C39" s="22">
        <f>SUM(C34:C38)</f>
        <v>40799837</v>
      </c>
      <c r="D39" s="97">
        <f>SUM(D34:D38)</f>
        <v>26930801</v>
      </c>
      <c r="E39" s="22">
        <f>SUM(E34:E38)</f>
        <v>41503070</v>
      </c>
      <c r="F39" s="23">
        <f>SUM(F34:F38)</f>
        <v>29558864</v>
      </c>
      <c r="G39" s="110"/>
      <c r="H39" s="110"/>
    </row>
    <row r="40" spans="1:8" ht="13.5" customHeight="1" x14ac:dyDescent="0.2">
      <c r="G40" s="110"/>
    </row>
    <row r="41" spans="1:8" ht="13.5" customHeight="1" x14ac:dyDescent="0.2">
      <c r="G41" s="110"/>
    </row>
    <row r="42" spans="1:8" ht="13.5" customHeight="1" x14ac:dyDescent="0.2"/>
    <row r="43" spans="1:8" ht="13.5" customHeight="1" x14ac:dyDescent="0.2"/>
    <row r="44" spans="1:8" ht="13.5" customHeight="1" x14ac:dyDescent="0.2"/>
    <row r="45" spans="1:8" ht="13.5" customHeight="1" x14ac:dyDescent="0.2"/>
    <row r="46" spans="1:8" ht="13.5" customHeight="1" x14ac:dyDescent="0.2"/>
    <row r="47" spans="1:8" ht="13.5" customHeight="1" x14ac:dyDescent="0.2"/>
  </sheetData>
  <mergeCells count="4">
    <mergeCell ref="A4:A5"/>
    <mergeCell ref="B4:B5"/>
    <mergeCell ref="C4:D4"/>
    <mergeCell ref="E4:F4"/>
  </mergeCells>
  <pageMargins left="0.7" right="0.7" top="0.75" bottom="0.75" header="0.3" footer="0.3"/>
  <ignoredErrors>
    <ignoredError sqref="C34:F38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zoomScaleNormal="100" workbookViewId="0"/>
  </sheetViews>
  <sheetFormatPr defaultColWidth="9.140625" defaultRowHeight="12" x14ac:dyDescent="0.2"/>
  <cols>
    <col min="1" max="1" width="8.5703125" style="1" customWidth="1"/>
    <col min="2" max="2" width="39.28515625" style="1" customWidth="1"/>
    <col min="3" max="9" width="10" style="2" customWidth="1"/>
    <col min="10" max="10" width="19.28515625" style="2" customWidth="1"/>
    <col min="11" max="11" width="3.5703125" style="1" customWidth="1"/>
    <col min="12" max="16384" width="9.140625" style="1"/>
  </cols>
  <sheetData>
    <row r="1" spans="1:11" s="24" customFormat="1" ht="15.75" x14ac:dyDescent="0.25">
      <c r="A1" s="72"/>
      <c r="C1" s="26"/>
      <c r="D1" s="26"/>
      <c r="E1" s="26"/>
      <c r="F1" s="38" t="s">
        <v>139</v>
      </c>
      <c r="G1" s="26"/>
      <c r="H1" s="26">
        <v>1.0109999999999999</v>
      </c>
      <c r="I1" s="26"/>
      <c r="J1" s="26"/>
    </row>
    <row r="2" spans="1:11" s="24" customFormat="1" ht="13.5" customHeight="1" x14ac:dyDescent="0.2">
      <c r="A2" s="31" t="s">
        <v>142</v>
      </c>
      <c r="C2" s="26"/>
      <c r="D2" s="26"/>
      <c r="E2" s="27"/>
      <c r="F2" s="27"/>
      <c r="G2" s="27"/>
      <c r="H2" s="28"/>
      <c r="I2" s="32"/>
      <c r="J2" s="28"/>
    </row>
    <row r="3" spans="1:11" s="24" customFormat="1" ht="13.5" customHeight="1" x14ac:dyDescent="0.2">
      <c r="A3" s="33" t="s">
        <v>42</v>
      </c>
      <c r="C3" s="26"/>
      <c r="D3" s="26"/>
      <c r="E3" s="27"/>
      <c r="F3" s="27"/>
      <c r="G3" s="27"/>
      <c r="H3" s="28"/>
      <c r="I3" s="27"/>
      <c r="J3" s="28"/>
    </row>
    <row r="4" spans="1:11" s="24" customFormat="1" ht="54" customHeight="1" x14ac:dyDescent="0.2">
      <c r="A4" s="73" t="s">
        <v>12</v>
      </c>
      <c r="B4" s="73" t="s">
        <v>0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21</v>
      </c>
    </row>
    <row r="5" spans="1:11" s="24" customFormat="1" ht="13.5" customHeight="1" x14ac:dyDescent="0.2">
      <c r="A5" s="74">
        <f>+'(skema1-7_2013 - 13pl)'!A5</f>
        <v>1301</v>
      </c>
      <c r="B5" s="4" t="str">
        <f>+'(skema1-7_2013 - 13pl)'!B5</f>
        <v>Rigshospitalet</v>
      </c>
      <c r="C5" s="76">
        <f>+'(skema1-7_2013 - 13pl)'!C5*'Skema1-7_2013'!$H$1</f>
        <v>4399155.4962625494</v>
      </c>
      <c r="D5" s="29">
        <f>+'(skema1-7_2013 - 13pl)'!D5*'Skema1-7_2013'!$H$1</f>
        <v>113019.71376110404</v>
      </c>
      <c r="E5" s="29">
        <f>+'(skema1-7_2013 - 13pl)'!E5*'Skema1-7_2013'!$H$1</f>
        <v>378704.25900829659</v>
      </c>
      <c r="F5" s="29">
        <f>+'(skema1-7_2013 - 13pl)'!F5*'Skema1-7_2013'!$H$1</f>
        <v>0</v>
      </c>
      <c r="G5" s="29">
        <f>+'(skema1-7_2013 - 13pl)'!G5*'Skema1-7_2013'!$H$1</f>
        <v>46179.567056249994</v>
      </c>
      <c r="H5" s="29">
        <f>+'(skema1-7_2013 - 13pl)'!H5*'Skema1-7_2013'!$H$1</f>
        <v>-1842535.6644469034</v>
      </c>
      <c r="I5" s="29">
        <f>+'(skema1-7_2013 - 13pl)'!I5*'Skema1-7_2013'!$H$1</f>
        <v>32666.63680491798</v>
      </c>
      <c r="J5" s="9">
        <f>+SUM(C5:E5) - SUM(F5:I5)</f>
        <v>6654568.9296176862</v>
      </c>
    </row>
    <row r="6" spans="1:11" s="24" customFormat="1" ht="13.5" customHeight="1" x14ac:dyDescent="0.2">
      <c r="A6" s="75">
        <f>+'(skema1-7_2013 - 13pl)'!A6</f>
        <v>1309</v>
      </c>
      <c r="B6" s="7" t="str">
        <f>+'(skema1-7_2013 - 13pl)'!B6</f>
        <v>Bispebjerg og Frederiksberg Hospital</v>
      </c>
      <c r="C6" s="76">
        <f>+'(skema1-7_2013 - 13pl)'!C6*'Skema1-7_2013'!$H$1</f>
        <v>2216085.12283797</v>
      </c>
      <c r="D6" s="29">
        <f>+'(skema1-7_2013 - 13pl)'!D6*'Skema1-7_2013'!$H$1</f>
        <v>29480.416600496952</v>
      </c>
      <c r="E6" s="29">
        <f>+'(skema1-7_2013 - 13pl)'!E6*'Skema1-7_2013'!$H$1</f>
        <v>190773.17795578463</v>
      </c>
      <c r="F6" s="29">
        <f>+'(skema1-7_2013 - 13pl)'!F6*'Skema1-7_2013'!$H$1</f>
        <v>0</v>
      </c>
      <c r="G6" s="29">
        <f>+'(skema1-7_2013 - 13pl)'!G6*'Skema1-7_2013'!$H$1</f>
        <v>32.376567299999991</v>
      </c>
      <c r="H6" s="29">
        <f>+'(skema1-7_2013 - 13pl)'!H6*'Skema1-7_2013'!$H$1</f>
        <v>-66131.214821225527</v>
      </c>
      <c r="I6" s="29">
        <f>+'(skema1-7_2013 - 13pl)'!I6*'Skema1-7_2013'!$H$1</f>
        <v>-23156.729601531406</v>
      </c>
      <c r="J6" s="9">
        <f t="shared" ref="J6:J13" si="0">+SUM(C6:E6) - SUM(F6:I6)</f>
        <v>2525594.2852497087</v>
      </c>
    </row>
    <row r="7" spans="1:11" s="24" customFormat="1" ht="13.5" customHeight="1" x14ac:dyDescent="0.2">
      <c r="A7" s="75">
        <f>+'(skema1-7_2013 - 13pl)'!A7</f>
        <v>1330</v>
      </c>
      <c r="B7" s="7" t="str">
        <f>+'(skema1-7_2013 - 13pl)'!B7</f>
        <v>Amager og Hvidovre Hospital</v>
      </c>
      <c r="C7" s="76">
        <f>+'(skema1-7_2013 - 13pl)'!C7*'Skema1-7_2013'!$H$1</f>
        <v>2241040.6163360998</v>
      </c>
      <c r="D7" s="29">
        <f>+'(skema1-7_2013 - 13pl)'!D7*'Skema1-7_2013'!$H$1</f>
        <v>31903.416947099009</v>
      </c>
      <c r="E7" s="29">
        <f>+'(skema1-7_2013 - 13pl)'!E7*'Skema1-7_2013'!$H$1</f>
        <v>192921.48839432784</v>
      </c>
      <c r="F7" s="29">
        <f>+'(skema1-7_2013 - 13pl)'!F7*'Skema1-7_2013'!$H$1</f>
        <v>0</v>
      </c>
      <c r="G7" s="29">
        <f>+'(skema1-7_2013 - 13pl)'!G7*'Skema1-7_2013'!$H$1</f>
        <v>497.75670606509397</v>
      </c>
      <c r="H7" s="29">
        <f>+'(skema1-7_2013 - 13pl)'!H7*'Skema1-7_2013'!$H$1</f>
        <v>-214885.57675756534</v>
      </c>
      <c r="I7" s="29">
        <f>+'(skema1-7_2013 - 13pl)'!I7*'Skema1-7_2013'!$H$1</f>
        <v>12540.136815379567</v>
      </c>
      <c r="J7" s="9">
        <f t="shared" si="0"/>
        <v>2667713.2049136474</v>
      </c>
    </row>
    <row r="8" spans="1:11" s="24" customFormat="1" ht="13.5" customHeight="1" x14ac:dyDescent="0.2">
      <c r="A8" s="75">
        <f>+'(skema1-7_2013 - 13pl)'!A8</f>
        <v>1501</v>
      </c>
      <c r="B8" s="7" t="str">
        <f>+'(skema1-7_2013 - 13pl)'!B8</f>
        <v>Gentofte Hospital</v>
      </c>
      <c r="C8" s="76">
        <f>+'(skema1-7_2013 - 13pl)'!C8*'Skema1-7_2013'!$H$1</f>
        <v>1121530.3901092797</v>
      </c>
      <c r="D8" s="29">
        <f>+'(skema1-7_2013 - 13pl)'!D8*'Skema1-7_2013'!$H$1</f>
        <v>16830.790908511179</v>
      </c>
      <c r="E8" s="29">
        <f>+'(skema1-7_2013 - 13pl)'!E8*'Skema1-7_2013'!$H$1</f>
        <v>96547.697780281436</v>
      </c>
      <c r="F8" s="29">
        <f>+'(skema1-7_2013 - 13pl)'!F8*'Skema1-7_2013'!$H$1</f>
        <v>0</v>
      </c>
      <c r="G8" s="29">
        <f>+'(skema1-7_2013 - 13pl)'!G8*'Skema1-7_2013'!$H$1</f>
        <v>0</v>
      </c>
      <c r="H8" s="29">
        <f>+'(skema1-7_2013 - 13pl)'!H8*'Skema1-7_2013'!$H$1</f>
        <v>-65350.885023809991</v>
      </c>
      <c r="I8" s="29">
        <f>+'(skema1-7_2013 - 13pl)'!I8*'Skema1-7_2013'!$H$1</f>
        <v>-14557.731887498117</v>
      </c>
      <c r="J8" s="9">
        <f t="shared" si="0"/>
        <v>1314817.4957093806</v>
      </c>
    </row>
    <row r="9" spans="1:11" s="24" customFormat="1" ht="13.5" customHeight="1" x14ac:dyDescent="0.2">
      <c r="A9" s="75">
        <f>+'(skema1-7_2013 - 13pl)'!A9</f>
        <v>1502</v>
      </c>
      <c r="B9" s="7" t="str">
        <f>+'(skema1-7_2013 - 13pl)'!B9</f>
        <v>Glostrup Hospital</v>
      </c>
      <c r="C9" s="76">
        <f>+'(skema1-7_2013 - 13pl)'!C9*'Skema1-7_2013'!$H$1</f>
        <v>1523481.3024301496</v>
      </c>
      <c r="D9" s="29">
        <f>+'(skema1-7_2013 - 13pl)'!D9*'Skema1-7_2013'!$H$1</f>
        <v>31013.357088453409</v>
      </c>
      <c r="E9" s="29">
        <f>+'(skema1-7_2013 - 13pl)'!E9*'Skema1-7_2013'!$H$1</f>
        <v>131149.91235021601</v>
      </c>
      <c r="F9" s="29">
        <f>+'(skema1-7_2013 - 13pl)'!F9*'Skema1-7_2013'!$H$1</f>
        <v>0</v>
      </c>
      <c r="G9" s="29">
        <f>+'(skema1-7_2013 - 13pl)'!G9*'Skema1-7_2013'!$H$1</f>
        <v>0</v>
      </c>
      <c r="H9" s="29">
        <f>+'(skema1-7_2013 - 13pl)'!H9*'Skema1-7_2013'!$H$1</f>
        <v>-131346.57620773499</v>
      </c>
      <c r="I9" s="29">
        <f>+'(skema1-7_2013 - 13pl)'!I9*'Skema1-7_2013'!$H$1</f>
        <v>-10094.307036015165</v>
      </c>
      <c r="J9" s="9">
        <f t="shared" si="0"/>
        <v>1827085.455112569</v>
      </c>
    </row>
    <row r="10" spans="1:11" s="24" customFormat="1" ht="13.5" customHeight="1" x14ac:dyDescent="0.2">
      <c r="A10" s="75">
        <f>+'(skema1-7_2013 - 13pl)'!A10</f>
        <v>1516</v>
      </c>
      <c r="B10" s="7" t="str">
        <f>+'(skema1-7_2013 - 13pl)'!B10</f>
        <v>Herlev Hospital</v>
      </c>
      <c r="C10" s="76">
        <f>+'(skema1-7_2013 - 13pl)'!C10*'Skema1-7_2013'!$H$1</f>
        <v>3008491.1181782698</v>
      </c>
      <c r="D10" s="29">
        <f>+'(skema1-7_2013 - 13pl)'!D10*'Skema1-7_2013'!$H$1</f>
        <v>55616.33342358801</v>
      </c>
      <c r="E10" s="29">
        <f>+'(skema1-7_2013 - 13pl)'!E10*'Skema1-7_2013'!$H$1</f>
        <v>258987.98090012916</v>
      </c>
      <c r="F10" s="29">
        <f>+'(skema1-7_2013 - 13pl)'!F10*'Skema1-7_2013'!$H$1</f>
        <v>0</v>
      </c>
      <c r="G10" s="29">
        <f>+'(skema1-7_2013 - 13pl)'!G10*'Skema1-7_2013'!$H$1</f>
        <v>11197.713618449998</v>
      </c>
      <c r="H10" s="29">
        <f>+'(skema1-7_2013 - 13pl)'!H10*'Skema1-7_2013'!$H$1</f>
        <v>-101487.47830857997</v>
      </c>
      <c r="I10" s="29">
        <f>+'(skema1-7_2013 - 13pl)'!I10*'Skema1-7_2013'!$H$1</f>
        <v>25719.53300414516</v>
      </c>
      <c r="J10" s="9">
        <f t="shared" si="0"/>
        <v>3387665.664187972</v>
      </c>
    </row>
    <row r="11" spans="1:11" s="24" customFormat="1" ht="13.5" customHeight="1" x14ac:dyDescent="0.2">
      <c r="A11" s="75">
        <f>+'(skema1-7_2013 - 13pl)'!A11</f>
        <v>2000</v>
      </c>
      <c r="B11" s="7" t="str">
        <f>+'(skema1-7_2013 - 13pl)'!B11</f>
        <v>Nordsjællands Hospital</v>
      </c>
      <c r="C11" s="76">
        <f>+'(skema1-7_2013 - 13pl)'!C11*'Skema1-7_2013'!$H$1</f>
        <v>2277891.3562907395</v>
      </c>
      <c r="D11" s="29">
        <f>+'(skema1-7_2013 - 13pl)'!D11*'Skema1-7_2013'!$H$1</f>
        <v>33455.605108281947</v>
      </c>
      <c r="E11" s="29">
        <f>+'(skema1-7_2013 - 13pl)'!E11*'Skema1-7_2013'!$H$1</f>
        <v>196093.80912276896</v>
      </c>
      <c r="F11" s="29">
        <f>+'(skema1-7_2013 - 13pl)'!F11*'Skema1-7_2013'!$H$1</f>
        <v>0</v>
      </c>
      <c r="G11" s="29">
        <f>+'(skema1-7_2013 - 13pl)'!G11*'Skema1-7_2013'!$H$1</f>
        <v>1920.6977999999997</v>
      </c>
      <c r="H11" s="29">
        <f>+'(skema1-7_2013 - 13pl)'!H11*'Skema1-7_2013'!$H$1</f>
        <v>89340.715185324982</v>
      </c>
      <c r="I11" s="29">
        <f>+'(skema1-7_2013 - 13pl)'!I11*'Skema1-7_2013'!$H$1</f>
        <v>-9500.0574035232275</v>
      </c>
      <c r="J11" s="9">
        <f t="shared" si="0"/>
        <v>2425679.4149399889</v>
      </c>
    </row>
    <row r="12" spans="1:11" s="24" customFormat="1" ht="13.5" customHeight="1" x14ac:dyDescent="0.2">
      <c r="A12" s="75">
        <f>+'(skema1-7_2013 - 13pl)'!A12</f>
        <v>4001</v>
      </c>
      <c r="B12" s="7" t="str">
        <f>+'(skema1-7_2013 - 13pl)'!B12</f>
        <v>Bornholms Hospital</v>
      </c>
      <c r="C12" s="76">
        <f>+'(skema1-7_2013 - 13pl)'!C12*'Skema1-7_2013'!$H$1</f>
        <v>389102.60538467998</v>
      </c>
      <c r="D12" s="29">
        <f>+'(skema1-7_2013 - 13pl)'!D12*'Skema1-7_2013'!$H$1</f>
        <v>5454.9377092356208</v>
      </c>
      <c r="E12" s="29">
        <f>+'(skema1-7_2013 - 13pl)'!E12*'Skema1-7_2013'!$H$1</f>
        <v>33496.159427779516</v>
      </c>
      <c r="F12" s="29">
        <f>+'(skema1-7_2013 - 13pl)'!F12*'Skema1-7_2013'!$H$1</f>
        <v>0</v>
      </c>
      <c r="G12" s="29">
        <f>+'(skema1-7_2013 - 13pl)'!G12*'Skema1-7_2013'!$H$1</f>
        <v>0</v>
      </c>
      <c r="H12" s="29">
        <f>+'(skema1-7_2013 - 13pl)'!H12*'Skema1-7_2013'!$H$1</f>
        <v>31388.733353999996</v>
      </c>
      <c r="I12" s="29">
        <f>+'(skema1-7_2013 - 13pl)'!I12*'Skema1-7_2013'!$H$1</f>
        <v>609.97100151993357</v>
      </c>
      <c r="J12" s="9">
        <f t="shared" si="0"/>
        <v>396054.99816617521</v>
      </c>
    </row>
    <row r="13" spans="1:11" s="24" customFormat="1" ht="13.5" customHeight="1" x14ac:dyDescent="0.2">
      <c r="A13" s="75">
        <f>+'(skema1-7_2013 - 13pl)'!A13</f>
        <v>3810</v>
      </c>
      <c r="B13" s="7" t="str">
        <f>+'(skema1-7_2013 - 13pl)'!B13</f>
        <v>Roskilde og Køge sygehuse</v>
      </c>
      <c r="C13" s="76">
        <f>+'(skema1-7_2013 - 13pl)'!C13*'Skema1-7_2013'!$H$1</f>
        <v>2543791.5391019997</v>
      </c>
      <c r="D13" s="29">
        <f>+'(skema1-7_2013 - 13pl)'!D13*'Skema1-7_2013'!$H$1</f>
        <v>246727.89155400006</v>
      </c>
      <c r="E13" s="29">
        <f>+'(skema1-7_2013 - 13pl)'!E13*'Skema1-7_2013'!$H$1</f>
        <v>110288.03573699998</v>
      </c>
      <c r="F13" s="29">
        <f>+'(skema1-7_2013 - 13pl)'!F13*'Skema1-7_2013'!$H$1</f>
        <v>0</v>
      </c>
      <c r="G13" s="29">
        <f>+'(skema1-7_2013 - 13pl)'!G13*'Skema1-7_2013'!$H$1</f>
        <v>8047.4811419999987</v>
      </c>
      <c r="H13" s="29">
        <f>+'(skema1-7_2013 - 13pl)'!H13*'Skema1-7_2013'!$H$1</f>
        <v>53093.305973999995</v>
      </c>
      <c r="I13" s="29">
        <f>+'(skema1-7_2013 - 13pl)'!I13*'Skema1-7_2013'!$H$1</f>
        <v>10455.437469</v>
      </c>
      <c r="J13" s="9">
        <f t="shared" si="0"/>
        <v>2829211.2418079996</v>
      </c>
    </row>
    <row r="14" spans="1:11" s="24" customFormat="1" ht="13.5" customHeight="1" x14ac:dyDescent="0.2">
      <c r="A14" s="75">
        <f>+'(skema1-7_2013 - 13pl)'!A14</f>
        <v>3820</v>
      </c>
      <c r="B14" s="7" t="str">
        <f>+'(skema1-7_2013 - 13pl)'!B14</f>
        <v>Holbæk Sygehus</v>
      </c>
      <c r="C14" s="76">
        <f>+'(skema1-7_2013 - 13pl)'!C14*'Skema1-7_2013'!$H$1</f>
        <v>990046.56411542988</v>
      </c>
      <c r="D14" s="29">
        <f>+'(skema1-7_2013 - 13pl)'!D14*'Skema1-7_2013'!$H$1</f>
        <v>110774.235747</v>
      </c>
      <c r="E14" s="29">
        <f>+'(skema1-7_2013 - 13pl)'!E14*'Skema1-7_2013'!$H$1</f>
        <v>46213.485347999995</v>
      </c>
      <c r="F14" s="29">
        <f>+'(skema1-7_2013 - 13pl)'!F14*'Skema1-7_2013'!$H$1</f>
        <v>5496.159959999999</v>
      </c>
      <c r="G14" s="29">
        <f>+'(skema1-7_2013 - 13pl)'!G14*'Skema1-7_2013'!$H$1</f>
        <v>9988.2210059999998</v>
      </c>
      <c r="H14" s="29">
        <f>+'(skema1-7_2013 - 13pl)'!H14*'Skema1-7_2013'!$H$1</f>
        <v>40732.531838999996</v>
      </c>
      <c r="I14" s="29">
        <f>+'(skema1-7_2013 - 13pl)'!I14*'Skema1-7_2013'!$H$1</f>
        <v>-4720.8523679999998</v>
      </c>
      <c r="J14" s="9">
        <f t="shared" ref="J14:J17" si="1">+SUM(C14:E14) - SUM(F14:I14)</f>
        <v>1095538.22477343</v>
      </c>
      <c r="K14" s="34"/>
    </row>
    <row r="15" spans="1:11" s="24" customFormat="1" ht="13.5" customHeight="1" x14ac:dyDescent="0.2">
      <c r="A15" s="75">
        <f>+'(skema1-7_2013 - 13pl)'!A15</f>
        <v>3830</v>
      </c>
      <c r="B15" s="7" t="str">
        <f>+'(skema1-7_2013 - 13pl)'!B15</f>
        <v>Næstved, Slagelse og Ringsted sygehuse</v>
      </c>
      <c r="C15" s="76">
        <f>+'(skema1-7_2013 - 13pl)'!C15*'Skema1-7_2013'!$H$1</f>
        <v>2335882.1369999996</v>
      </c>
      <c r="D15" s="29">
        <f>+'(skema1-7_2013 - 13pl)'!D15*'Skema1-7_2013'!$H$1</f>
        <v>270383.80235099996</v>
      </c>
      <c r="E15" s="29">
        <f>+'(skema1-7_2013 - 13pl)'!E15*'Skema1-7_2013'!$H$1</f>
        <v>108183.99510899998</v>
      </c>
      <c r="F15" s="29">
        <f>+'(skema1-7_2013 - 13pl)'!F15*'Skema1-7_2013'!$H$1</f>
        <v>1252.6289999999999</v>
      </c>
      <c r="G15" s="29">
        <f>+'(skema1-7_2013 - 13pl)'!G15*'Skema1-7_2013'!$H$1</f>
        <v>5353.2449999999999</v>
      </c>
      <c r="H15" s="29">
        <f>+'(skema1-7_2013 - 13pl)'!H15*'Skema1-7_2013'!$H$1</f>
        <v>95433.344999999987</v>
      </c>
      <c r="I15" s="29">
        <f>+'(skema1-7_2013 - 13pl)'!I15*'Skema1-7_2013'!$H$1</f>
        <v>19082.404601999999</v>
      </c>
      <c r="J15" s="9">
        <f t="shared" si="1"/>
        <v>2593328.3108579991</v>
      </c>
      <c r="K15" s="34"/>
    </row>
    <row r="16" spans="1:11" s="24" customFormat="1" ht="13.5" customHeight="1" x14ac:dyDescent="0.2">
      <c r="A16" s="75">
        <f>+'(skema1-7_2013 - 13pl)'!A16</f>
        <v>3840</v>
      </c>
      <c r="B16" s="7" t="str">
        <f>+'(skema1-7_2013 - 13pl)'!B16</f>
        <v>Nykøbing Sygehus</v>
      </c>
      <c r="C16" s="76">
        <f>+'(skema1-7_2013 - 13pl)'!C16*'Skema1-7_2013'!$H$1</f>
        <v>692739.31213064992</v>
      </c>
      <c r="D16" s="29">
        <f>+'(skema1-7_2013 - 13pl)'!D16*'Skema1-7_2013'!$H$1</f>
        <v>79447.049039999969</v>
      </c>
      <c r="E16" s="29">
        <f>+'(skema1-7_2013 - 13pl)'!E16*'Skema1-7_2013'!$H$1</f>
        <v>32279.261582999996</v>
      </c>
      <c r="F16" s="29">
        <f>+'(skema1-7_2013 - 13pl)'!F16*'Skema1-7_2013'!$H$1</f>
        <v>0</v>
      </c>
      <c r="G16" s="29">
        <f>+'(skema1-7_2013 - 13pl)'!G16*'Skema1-7_2013'!$H$1</f>
        <v>-97.976010000000073</v>
      </c>
      <c r="H16" s="29">
        <f>+'(skema1-7_2013 - 13pl)'!H16*'Skema1-7_2013'!$H$1</f>
        <v>15221.915255999998</v>
      </c>
      <c r="I16" s="29">
        <f>+'(skema1-7_2013 - 13pl)'!I16*'Skema1-7_2013'!$H$1</f>
        <v>-24140.183840999998</v>
      </c>
      <c r="J16" s="9">
        <f t="shared" si="1"/>
        <v>813481.86734864989</v>
      </c>
      <c r="K16" s="34"/>
    </row>
    <row r="17" spans="1:11" s="24" customFormat="1" ht="13.5" customHeight="1" x14ac:dyDescent="0.2">
      <c r="A17" s="75">
        <f>+'(skema1-7_2013 - 13pl)'!A17</f>
        <v>4202</v>
      </c>
      <c r="B17" s="7" t="str">
        <f>+'(skema1-7_2013 - 13pl)'!B17</f>
        <v>Odense Universitetshospital</v>
      </c>
      <c r="C17" s="76">
        <f>+'(skema1-7_2013 - 13pl)'!C17*'Skema1-7_2013'!$H$1</f>
        <v>6262477.7399999993</v>
      </c>
      <c r="D17" s="29">
        <f>+'(skema1-7_2013 - 13pl)'!D17*'Skema1-7_2013'!$H$1</f>
        <v>191736.15</v>
      </c>
      <c r="E17" s="29">
        <f>+'(skema1-7_2013 - 13pl)'!E17*'Skema1-7_2013'!$H$1</f>
        <v>140606.84699999998</v>
      </c>
      <c r="F17" s="29">
        <f>+'(skema1-7_2013 - 13pl)'!F17*'Skema1-7_2013'!$H$1</f>
        <v>8246.726999999999</v>
      </c>
      <c r="G17" s="29">
        <f>+'(skema1-7_2013 - 13pl)'!G17*'Skema1-7_2013'!$H$1</f>
        <v>17094.999</v>
      </c>
      <c r="H17" s="29">
        <f>+'(skema1-7_2013 - 13pl)'!H17*'Skema1-7_2013'!$H$1</f>
        <v>224064.89699999997</v>
      </c>
      <c r="I17" s="29">
        <f>+'(skema1-7_2013 - 13pl)'!I17*'Skema1-7_2013'!$H$1</f>
        <v>-1987.6259999999997</v>
      </c>
      <c r="J17" s="9">
        <f t="shared" si="1"/>
        <v>6347401.7400000002</v>
      </c>
      <c r="K17" s="34"/>
    </row>
    <row r="18" spans="1:11" s="24" customFormat="1" ht="13.5" customHeight="1" x14ac:dyDescent="0.2">
      <c r="A18" s="75">
        <f>+'(skema1-7_2013 - 13pl)'!A18</f>
        <v>5000</v>
      </c>
      <c r="B18" s="7" t="str">
        <f>+'(skema1-7_2013 - 13pl)'!B18</f>
        <v>Sygehus Sønderjylland</v>
      </c>
      <c r="C18" s="76">
        <f>+'(skema1-7_2013 - 13pl)'!C18*'Skema1-7_2013'!$H$1</f>
        <v>1805001.9929999998</v>
      </c>
      <c r="D18" s="29">
        <f>+'(skema1-7_2013 - 13pl)'!D18*'Skema1-7_2013'!$H$1</f>
        <v>53511.218999999997</v>
      </c>
      <c r="E18" s="29">
        <f>+'(skema1-7_2013 - 13pl)'!E18*'Skema1-7_2013'!$H$1</f>
        <v>39240.953999999998</v>
      </c>
      <c r="F18" s="29">
        <f>+'(skema1-7_2013 - 13pl)'!F18*'Skema1-7_2013'!$H$1</f>
        <v>2307.1019999999999</v>
      </c>
      <c r="G18" s="29">
        <f>+'(skema1-7_2013 - 13pl)'!G18*'Skema1-7_2013'!$H$1</f>
        <v>6226.7489999999998</v>
      </c>
      <c r="H18" s="29">
        <f>+'(skema1-7_2013 - 13pl)'!H18*'Skema1-7_2013'!$H$1</f>
        <v>94102.868999999992</v>
      </c>
      <c r="I18" s="29">
        <f>+'(skema1-7_2013 - 13pl)'!I18*'Skema1-7_2013'!$H$1</f>
        <v>2231.2769999999996</v>
      </c>
      <c r="J18" s="9">
        <f t="shared" ref="J18:J30" si="2">+SUM(C18:E18) - SUM(F18:I18)</f>
        <v>1792886.1689999998</v>
      </c>
    </row>
    <row r="19" spans="1:11" s="24" customFormat="1" ht="13.5" customHeight="1" x14ac:dyDescent="0.2">
      <c r="A19" s="75">
        <f>+'(skema1-7_2013 - 13pl)'!A19</f>
        <v>5501</v>
      </c>
      <c r="B19" s="7" t="str">
        <f>+'(skema1-7_2013 - 13pl)'!B19</f>
        <v>Sydvestjysk Sygehus</v>
      </c>
      <c r="C19" s="76">
        <f>+'(skema1-7_2013 - 13pl)'!C19*'Skema1-7_2013'!$H$1</f>
        <v>1756827.8429999999</v>
      </c>
      <c r="D19" s="29">
        <f>+'(skema1-7_2013 - 13pl)'!D19*'Skema1-7_2013'!$H$1</f>
        <v>51892.607999999993</v>
      </c>
      <c r="E19" s="29">
        <f>+'(skema1-7_2013 - 13pl)'!E19*'Skema1-7_2013'!$H$1</f>
        <v>38055.050999999999</v>
      </c>
      <c r="F19" s="29">
        <f>+'(skema1-7_2013 - 13pl)'!F19*'Skema1-7_2013'!$H$1</f>
        <v>2677.1279999999997</v>
      </c>
      <c r="G19" s="29">
        <f>+'(skema1-7_2013 - 13pl)'!G19*'Skema1-7_2013'!$H$1</f>
        <v>4620.2699999999995</v>
      </c>
      <c r="H19" s="29">
        <f>+'(skema1-7_2013 - 13pl)'!H19*'Skema1-7_2013'!$H$1</f>
        <v>76248.608999999997</v>
      </c>
      <c r="I19" s="29">
        <f>+'(skema1-7_2013 - 13pl)'!I19*'Skema1-7_2013'!$H$1</f>
        <v>205.23299999999998</v>
      </c>
      <c r="J19" s="9">
        <f t="shared" si="2"/>
        <v>1763024.2619999999</v>
      </c>
    </row>
    <row r="20" spans="1:11" s="24" customFormat="1" ht="13.5" customHeight="1" x14ac:dyDescent="0.2">
      <c r="A20" s="75">
        <f>+'(skema1-7_2013 - 13pl)'!A20</f>
        <v>6007</v>
      </c>
      <c r="B20" s="7" t="str">
        <f>+'(skema1-7_2013 - 13pl)'!B20</f>
        <v>Fredericia og Kolding sygehuse</v>
      </c>
      <c r="C20" s="76">
        <f>+'(skema1-7_2013 - 13pl)'!C20*'Skema1-7_2013'!$H$1</f>
        <v>1392724.2575147261</v>
      </c>
      <c r="D20" s="29">
        <f>+'(skema1-7_2013 - 13pl)'!D20*'Skema1-7_2013'!$H$1</f>
        <v>41984.807999999997</v>
      </c>
      <c r="E20" s="29">
        <f>+'(skema1-7_2013 - 13pl)'!E20*'Skema1-7_2013'!$H$1</f>
        <v>30790.004999999997</v>
      </c>
      <c r="F20" s="29">
        <f>+'(skema1-7_2013 - 13pl)'!F20*'Skema1-7_2013'!$H$1</f>
        <v>14867.765999999998</v>
      </c>
      <c r="G20" s="29">
        <f>+'(skema1-7_2013 - 13pl)'!G20*'Skema1-7_2013'!$H$1</f>
        <v>1149.3229649134207</v>
      </c>
      <c r="H20" s="29">
        <f>+'(skema1-7_2013 - 13pl)'!H20*'Skema1-7_2013'!$H$1</f>
        <v>40117.798637606124</v>
      </c>
      <c r="I20" s="29">
        <f>+'(skema1-7_2013 - 13pl)'!I20*'Skema1-7_2013'!$H$1</f>
        <v>-16104.218999999999</v>
      </c>
      <c r="J20" s="9">
        <f t="shared" si="2"/>
        <v>1425468.4019122066</v>
      </c>
    </row>
    <row r="21" spans="1:11" s="24" customFormat="1" ht="13.5" customHeight="1" x14ac:dyDescent="0.2">
      <c r="A21" s="75">
        <f>+'(skema1-7_2013 - 13pl)'!A21</f>
        <v>6008</v>
      </c>
      <c r="B21" s="7" t="str">
        <f>+'(skema1-7_2013 - 13pl)'!B21</f>
        <v>Vejle-Give-Middelfart sygehuse</v>
      </c>
      <c r="C21" s="76">
        <f>+'(skema1-7_2013 - 13pl)'!C21*'Skema1-7_2013'!$H$1</f>
        <v>1655611.4255095499</v>
      </c>
      <c r="D21" s="29">
        <f>+'(skema1-7_2013 - 13pl)'!D21*'Skema1-7_2013'!$H$1</f>
        <v>49866.563999999998</v>
      </c>
      <c r="E21" s="29">
        <f>+'(skema1-7_2013 - 13pl)'!E21*'Skema1-7_2013'!$H$1</f>
        <v>36568.880999999994</v>
      </c>
      <c r="F21" s="29">
        <f>+'(skema1-7_2013 - 13pl)'!F21*'Skema1-7_2013'!$H$1</f>
        <v>9297.155999999999</v>
      </c>
      <c r="G21" s="29">
        <f>+'(skema1-7_2013 - 13pl)'!G21*'Skema1-7_2013'!$H$1</f>
        <v>4927.584350126579</v>
      </c>
      <c r="H21" s="29">
        <f>+'(skema1-7_2013 - 13pl)'!H21*'Skema1-7_2013'!$H$1</f>
        <v>57697.999435196754</v>
      </c>
      <c r="I21" s="29">
        <f>+'(skema1-7_2013 - 13pl)'!I21*'Skema1-7_2013'!$H$1</f>
        <v>15656.345999999998</v>
      </c>
      <c r="J21" s="9">
        <f t="shared" si="2"/>
        <v>1654467.7847242267</v>
      </c>
    </row>
    <row r="22" spans="1:11" s="24" customFormat="1" ht="13.5" customHeight="1" x14ac:dyDescent="0.2">
      <c r="A22" s="75">
        <f>+'(skema1-7_2013 - 13pl)'!A22</f>
        <v>6013</v>
      </c>
      <c r="B22" s="7" t="str">
        <f>+'(skema1-7_2013 - 13pl)'!B22</f>
        <v>De Vestdanske Friklinikker, Give</v>
      </c>
      <c r="C22" s="76">
        <f>+'(skema1-7_2013 - 13pl)'!C22*'Skema1-7_2013'!$H$1</f>
        <v>82729.118999999992</v>
      </c>
      <c r="D22" s="29">
        <f>+'(skema1-7_2013 - 13pl)'!D22*'Skema1-7_2013'!$H$1</f>
        <v>2537.6099999999997</v>
      </c>
      <c r="E22" s="29">
        <f>+'(skema1-7_2013 - 13pl)'!E22*'Skema1-7_2013'!$H$1</f>
        <v>1861.2509999999997</v>
      </c>
      <c r="F22" s="29">
        <f>+'(skema1-7_2013 - 13pl)'!F22*'Skema1-7_2013'!$H$1</f>
        <v>0</v>
      </c>
      <c r="G22" s="29">
        <f>+'(skema1-7_2013 - 13pl)'!G22*'Skema1-7_2013'!$H$1</f>
        <v>0</v>
      </c>
      <c r="H22" s="29">
        <f>+'(skema1-7_2013 - 13pl)'!H22*'Skema1-7_2013'!$H$1</f>
        <v>0</v>
      </c>
      <c r="I22" s="29">
        <f>+'(skema1-7_2013 - 13pl)'!I22*'Skema1-7_2013'!$H$1</f>
        <v>-1.0109999999999999</v>
      </c>
      <c r="J22" s="9">
        <f t="shared" si="2"/>
        <v>87128.990999999995</v>
      </c>
    </row>
    <row r="23" spans="1:11" s="24" customFormat="1" ht="13.5" customHeight="1" x14ac:dyDescent="0.2">
      <c r="A23" s="75">
        <f>+'(skema1-7_2013 - 13pl)'!A23</f>
        <v>6006</v>
      </c>
      <c r="B23" s="7" t="str">
        <f>+'(skema1-7_2013 - 13pl)'!B23</f>
        <v>Hospitalenheden Horsens</v>
      </c>
      <c r="C23" s="76">
        <f>+'(skema1-7_2013 - 13pl)'!C23*'Skema1-7_2013'!$H$1</f>
        <v>938954.1179999999</v>
      </c>
      <c r="D23" s="29">
        <f>+'(skema1-7_2013 - 13pl)'!D23*'Skema1-7_2013'!$H$1</f>
        <v>38025.731999999996</v>
      </c>
      <c r="E23" s="29">
        <f>+'(skema1-7_2013 - 13pl)'!E23*'Skema1-7_2013'!$H$1</f>
        <v>20441.409</v>
      </c>
      <c r="F23" s="29">
        <f>+'(skema1-7_2013 - 13pl)'!F23*'Skema1-7_2013'!$H$1</f>
        <v>946.29599999999994</v>
      </c>
      <c r="G23" s="29">
        <f>+'(skema1-7_2013 - 13pl)'!G23*'Skema1-7_2013'!$H$1</f>
        <v>128.39699999999999</v>
      </c>
      <c r="H23" s="29">
        <f>+'(skema1-7_2013 - 13pl)'!H23*'Skema1-7_2013'!$H$1</f>
        <v>40202.414999999994</v>
      </c>
      <c r="I23" s="29">
        <f>+'(skema1-7_2013 - 13pl)'!I23*'Skema1-7_2013'!$H$1</f>
        <v>-22198.526999999998</v>
      </c>
      <c r="J23" s="9">
        <f t="shared" si="2"/>
        <v>978342.67799999984</v>
      </c>
    </row>
    <row r="24" spans="1:11" s="24" customFormat="1" ht="13.5" customHeight="1" x14ac:dyDescent="0.2">
      <c r="A24" s="75">
        <f>+'(skema1-7_2013 - 13pl)'!A24</f>
        <v>6650</v>
      </c>
      <c r="B24" s="7" t="str">
        <f>+'(skema1-7_2013 - 13pl)'!B24</f>
        <v>Hospitalsenheden Vest</v>
      </c>
      <c r="C24" s="76">
        <f>+'(skema1-7_2013 - 13pl)'!C24*'Skema1-7_2013'!$H$1</f>
        <v>2109107.7599999998</v>
      </c>
      <c r="D24" s="29">
        <f>+'(skema1-7_2013 - 13pl)'!D24*'Skema1-7_2013'!$H$1</f>
        <v>82570.391999999993</v>
      </c>
      <c r="E24" s="29">
        <f>+'(skema1-7_2013 - 13pl)'!E24*'Skema1-7_2013'!$H$1</f>
        <v>45964.103999999992</v>
      </c>
      <c r="F24" s="29">
        <f>+'(skema1-7_2013 - 13pl)'!F24*'Skema1-7_2013'!$H$1</f>
        <v>0</v>
      </c>
      <c r="G24" s="29">
        <f>+'(skema1-7_2013 - 13pl)'!G24*'Skema1-7_2013'!$H$1</f>
        <v>18721.697999999997</v>
      </c>
      <c r="H24" s="29">
        <f>+'(skema1-7_2013 - 13pl)'!H24*'Skema1-7_2013'!$H$1</f>
        <v>128029.51599999999</v>
      </c>
      <c r="I24" s="29">
        <f>+'(skema1-7_2013 - 13pl)'!I24*'Skema1-7_2013'!$H$1</f>
        <v>-11818.589999999998</v>
      </c>
      <c r="J24" s="9">
        <f t="shared" si="2"/>
        <v>2102709.6319999998</v>
      </c>
    </row>
    <row r="25" spans="1:11" s="24" customFormat="1" ht="13.5" customHeight="1" x14ac:dyDescent="0.2">
      <c r="A25" s="75">
        <f>+'(skema1-7_2013 - 13pl)'!A25</f>
        <v>6620</v>
      </c>
      <c r="B25" s="7" t="str">
        <f>+'(skema1-7_2013 - 13pl)'!B25</f>
        <v>Aarhus Universitetshospital</v>
      </c>
      <c r="C25" s="76">
        <f>+'(skema1-7_2013 - 13pl)'!C25*'Skema1-7_2013'!$H$1</f>
        <v>6160624.544999999</v>
      </c>
      <c r="D25" s="29">
        <f>+'(skema1-7_2013 - 13pl)'!D25*'Skema1-7_2013'!$H$1</f>
        <v>330510.05399999995</v>
      </c>
      <c r="E25" s="29">
        <f>+'(skema1-7_2013 - 13pl)'!E25*'Skema1-7_2013'!$H$1</f>
        <v>148495.67999999999</v>
      </c>
      <c r="F25" s="29">
        <f>+'(skema1-7_2013 - 13pl)'!F25*'Skema1-7_2013'!$H$1</f>
        <v>0</v>
      </c>
      <c r="G25" s="29">
        <f>+'(skema1-7_2013 - 13pl)'!G25*'Skema1-7_2013'!$H$1</f>
        <v>12299.825999999999</v>
      </c>
      <c r="H25" s="29">
        <f>+'(skema1-7_2013 - 13pl)'!H25*'Skema1-7_2013'!$H$1</f>
        <v>-401222.09842500003</v>
      </c>
      <c r="I25" s="29">
        <f>+'(skema1-7_2013 - 13pl)'!I25*'Skema1-7_2013'!$H$1</f>
        <v>50510.570999999996</v>
      </c>
      <c r="J25" s="9">
        <f t="shared" si="2"/>
        <v>6978041.9804249983</v>
      </c>
    </row>
    <row r="26" spans="1:11" s="24" customFormat="1" ht="13.5" customHeight="1" x14ac:dyDescent="0.2">
      <c r="A26" s="75">
        <f>+'(skema1-7_2013 - 13pl)'!A26</f>
        <v>7005</v>
      </c>
      <c r="B26" s="7" t="str">
        <f>+'(skema1-7_2013 - 13pl)'!B26</f>
        <v>Regionshospitalet Randers</v>
      </c>
      <c r="C26" s="76">
        <f>+'(skema1-7_2013 - 13pl)'!C26*'Skema1-7_2013'!$H$1</f>
        <v>1002867.5159999999</v>
      </c>
      <c r="D26" s="29">
        <f>+'(skema1-7_2013 - 13pl)'!D26*'Skema1-7_2013'!$H$1</f>
        <v>39226.799999999996</v>
      </c>
      <c r="E26" s="29">
        <f>+'(skema1-7_2013 - 13pl)'!E26*'Skema1-7_2013'!$H$1</f>
        <v>21767.840999999997</v>
      </c>
      <c r="F26" s="29">
        <f>+'(skema1-7_2013 - 13pl)'!F26*'Skema1-7_2013'!$H$1</f>
        <v>6004.3289999999997</v>
      </c>
      <c r="G26" s="29">
        <f>+'(skema1-7_2013 - 13pl)'!G26*'Skema1-7_2013'!$H$1</f>
        <v>454.94999999999993</v>
      </c>
      <c r="H26" s="29">
        <f>+'(skema1-7_2013 - 13pl)'!H26*'Skema1-7_2013'!$H$1</f>
        <v>44724.617999999995</v>
      </c>
      <c r="I26" s="29">
        <f>+'(skema1-7_2013 - 13pl)'!I26*'Skema1-7_2013'!$H$1</f>
        <v>-15052.778999999999</v>
      </c>
      <c r="J26" s="9">
        <f t="shared" si="2"/>
        <v>1027731.0389999999</v>
      </c>
    </row>
    <row r="27" spans="1:11" s="24" customFormat="1" ht="13.5" customHeight="1" x14ac:dyDescent="0.2">
      <c r="A27" s="75">
        <f>+'(skema1-7_2013 - 13pl)'!A27</f>
        <v>6630</v>
      </c>
      <c r="B27" s="7" t="str">
        <f>+'(skema1-7_2013 - 13pl)'!B27</f>
        <v>Hospitalsenhed Midt</v>
      </c>
      <c r="C27" s="76">
        <f>+'(skema1-7_2013 - 13pl)'!C27*'Skema1-7_2013'!$H$1</f>
        <v>2353617.0989999999</v>
      </c>
      <c r="D27" s="29">
        <f>+'(skema1-7_2013 - 13pl)'!D27*'Skema1-7_2013'!$H$1</f>
        <v>98162.033999999985</v>
      </c>
      <c r="E27" s="29">
        <f>+'(skema1-7_2013 - 13pl)'!E27*'Skema1-7_2013'!$H$1</f>
        <v>54592.988999999994</v>
      </c>
      <c r="F27" s="29">
        <f>+'(skema1-7_2013 - 13pl)'!F27*'Skema1-7_2013'!$H$1</f>
        <v>0</v>
      </c>
      <c r="G27" s="29">
        <f>+'(skema1-7_2013 - 13pl)'!G27*'Skema1-7_2013'!$H$1</f>
        <v>15782.720999999998</v>
      </c>
      <c r="H27" s="29">
        <f>+'(skema1-7_2013 - 13pl)'!H27*'Skema1-7_2013'!$H$1</f>
        <v>-17560.058999999997</v>
      </c>
      <c r="I27" s="29">
        <f>+'(skema1-7_2013 - 13pl)'!I27*'Skema1-7_2013'!$H$1</f>
        <v>-6742.3589999999995</v>
      </c>
      <c r="J27" s="9">
        <f t="shared" si="2"/>
        <v>2514891.8190000001</v>
      </c>
    </row>
    <row r="28" spans="1:11" s="24" customFormat="1" ht="13.5" customHeight="1" x14ac:dyDescent="0.2">
      <c r="A28" s="75">
        <f>+'(skema1-7_2013 - 13pl)'!A28</f>
        <v>7603</v>
      </c>
      <c r="B28" s="7" t="str">
        <f>+'(skema1-7_2013 - 13pl)'!B28</f>
        <v>Sygehus Thy - Mors</v>
      </c>
      <c r="C28" s="76">
        <f>+'(skema1-7_2013 - 13pl)'!C28*'Skema1-7_2013'!$H$1</f>
        <v>429008.75099999993</v>
      </c>
      <c r="D28" s="29">
        <f>+'(skema1-7_2013 - 13pl)'!D28*'Skema1-7_2013'!$H$1</f>
        <v>27464.825999999997</v>
      </c>
      <c r="E28" s="29">
        <f>+'(skema1-7_2013 - 13pl)'!E28*'Skema1-7_2013'!$H$1</f>
        <v>11925.755999999999</v>
      </c>
      <c r="F28" s="29">
        <f>+'(skema1-7_2013 - 13pl)'!F28*'Skema1-7_2013'!$H$1</f>
        <v>726.99695699999995</v>
      </c>
      <c r="G28" s="29">
        <f>+'(skema1-7_2013 - 13pl)'!G28*'Skema1-7_2013'!$H$1</f>
        <v>16876.623</v>
      </c>
      <c r="H28" s="29">
        <f>+'(skema1-7_2013 - 13pl)'!H28*'Skema1-7_2013'!$H$1</f>
        <v>14223.758999999998</v>
      </c>
      <c r="I28" s="29">
        <f>+'(skema1-7_2013 - 13pl)'!I28*'Skema1-7_2013'!$H$1</f>
        <v>24532.029242999994</v>
      </c>
      <c r="J28" s="9">
        <f t="shared" si="2"/>
        <v>412039.92479999992</v>
      </c>
    </row>
    <row r="29" spans="1:11" s="24" customFormat="1" ht="13.5" customHeight="1" x14ac:dyDescent="0.2">
      <c r="A29" s="75">
        <f>+'(skema1-7_2013 - 13pl)'!A29</f>
        <v>8001</v>
      </c>
      <c r="B29" s="7" t="str">
        <f>+'(skema1-7_2013 - 13pl)'!B29</f>
        <v>Aalborg Universitetshospital</v>
      </c>
      <c r="C29" s="76">
        <f>+'(skema1-7_2013 - 13pl)'!C29*'Skema1-7_2013'!$H$1</f>
        <v>4236498.4439999992</v>
      </c>
      <c r="D29" s="29">
        <f>+'(skema1-7_2013 - 13pl)'!D29*'Skema1-7_2013'!$H$1</f>
        <v>230367.47099999999</v>
      </c>
      <c r="E29" s="29">
        <f>+'(skema1-7_2013 - 13pl)'!E29*'Skema1-7_2013'!$H$1</f>
        <v>103284.77099999999</v>
      </c>
      <c r="F29" s="29">
        <f>+'(skema1-7_2013 - 13pl)'!F29*'Skema1-7_2013'!$H$1</f>
        <v>2432.7025739999995</v>
      </c>
      <c r="G29" s="29">
        <f>+'(skema1-7_2013 - 13pl)'!G29*'Skema1-7_2013'!$H$1</f>
        <v>78017.858999999997</v>
      </c>
      <c r="H29" s="29">
        <f>+'(skema1-7_2013 - 13pl)'!H29*'Skema1-7_2013'!$H$1</f>
        <v>186494.02400999999</v>
      </c>
      <c r="I29" s="29">
        <f>+'(skema1-7_2013 - 13pl)'!I29*'Skema1-7_2013'!$H$1</f>
        <v>-96755.860385999986</v>
      </c>
      <c r="J29" s="9">
        <f t="shared" si="2"/>
        <v>4399961.9608019991</v>
      </c>
    </row>
    <row r="30" spans="1:11" s="24" customFormat="1" ht="13.5" customHeight="1" x14ac:dyDescent="0.2">
      <c r="A30" s="75">
        <f>+'(skema1-7_2013 - 13pl)'!A30</f>
        <v>8003</v>
      </c>
      <c r="B30" s="7" t="str">
        <f>+'(skema1-7_2013 - 13pl)'!B30</f>
        <v>Sygehus Vendsyssel</v>
      </c>
      <c r="C30" s="76">
        <f>+'(skema1-7_2013 - 13pl)'!C30*'Skema1-7_2013'!$H$1</f>
        <v>1003844.1419999999</v>
      </c>
      <c r="D30" s="29">
        <f>+'(skema1-7_2013 - 13pl)'!D30*'Skema1-7_2013'!$H$1</f>
        <v>56802.023999999998</v>
      </c>
      <c r="E30" s="29">
        <f>+'(skema1-7_2013 - 13pl)'!E30*'Skema1-7_2013'!$H$1</f>
        <v>30090.392999999996</v>
      </c>
      <c r="F30" s="29">
        <f>+'(skema1-7_2013 - 13pl)'!F30*'Skema1-7_2013'!$H$1</f>
        <v>2508.9875789999996</v>
      </c>
      <c r="G30" s="29">
        <f>+'(skema1-7_2013 - 13pl)'!G30*'Skema1-7_2013'!$H$1</f>
        <v>5692.9409999999998</v>
      </c>
      <c r="H30" s="29">
        <f>+'(skema1-7_2013 - 13pl)'!H30*'Skema1-7_2013'!$H$1</f>
        <v>45489.944999999992</v>
      </c>
      <c r="I30" s="29">
        <f>+'(skema1-7_2013 - 13pl)'!I30*'Skema1-7_2013'!$H$1</f>
        <v>72224.394270000004</v>
      </c>
      <c r="J30" s="9">
        <f t="shared" si="2"/>
        <v>964820.29115099995</v>
      </c>
    </row>
    <row r="31" spans="1:11" s="24" customFormat="1" ht="13.5" customHeight="1" x14ac:dyDescent="0.2">
      <c r="A31" s="13"/>
      <c r="B31" s="13" t="s">
        <v>20</v>
      </c>
      <c r="C31" s="14">
        <f t="shared" ref="C31:J31" si="3">SUM(C5:C30)</f>
        <v>54929132.313202091</v>
      </c>
      <c r="D31" s="14">
        <f t="shared" si="3"/>
        <v>2318765.8422387703</v>
      </c>
      <c r="E31" s="14">
        <f t="shared" si="3"/>
        <v>2499325.1947165844</v>
      </c>
      <c r="F31" s="14">
        <f t="shared" si="3"/>
        <v>56763.980069999998</v>
      </c>
      <c r="G31" s="14">
        <f t="shared" si="3"/>
        <v>265113.02320110507</v>
      </c>
      <c r="H31" s="14">
        <f t="shared" si="3"/>
        <v>-1563912.5562996904</v>
      </c>
      <c r="I31" s="14">
        <f t="shared" si="3"/>
        <v>9603.1366863947333</v>
      </c>
      <c r="J31" s="14">
        <f t="shared" si="3"/>
        <v>60979655.766499631</v>
      </c>
      <c r="K31" s="35"/>
    </row>
    <row r="32" spans="1:11" s="24" customFormat="1" ht="13.5" customHeight="1" x14ac:dyDescent="0.2">
      <c r="A32" s="37"/>
      <c r="B32" s="15"/>
      <c r="C32" s="16"/>
      <c r="D32" s="16"/>
      <c r="E32" s="16"/>
      <c r="F32" s="16"/>
      <c r="G32" s="16"/>
      <c r="H32" s="16"/>
      <c r="I32" s="16"/>
      <c r="J32" s="16"/>
    </row>
    <row r="33" spans="1:10" s="24" customFormat="1" ht="13.5" customHeight="1" x14ac:dyDescent="0.2">
      <c r="A33" s="37"/>
      <c r="B33" s="17" t="s">
        <v>34</v>
      </c>
      <c r="C33" s="18">
        <f>SUM(C5:C12)</f>
        <v>17176778.007829737</v>
      </c>
      <c r="D33" s="18">
        <f t="shared" ref="D33:I33" si="4">SUM(D5:D12)</f>
        <v>316774.57154677017</v>
      </c>
      <c r="E33" s="18">
        <f t="shared" si="4"/>
        <v>1478674.484939584</v>
      </c>
      <c r="F33" s="18">
        <f t="shared" si="4"/>
        <v>0</v>
      </c>
      <c r="G33" s="18">
        <f t="shared" si="4"/>
        <v>59828.111748065086</v>
      </c>
      <c r="H33" s="18">
        <f t="shared" si="4"/>
        <v>-2301007.947026494</v>
      </c>
      <c r="I33" s="18">
        <f t="shared" si="4"/>
        <v>14227.451697394725</v>
      </c>
      <c r="J33" s="6">
        <f>SUM(J5:J12)</f>
        <v>21199179.447897125</v>
      </c>
    </row>
    <row r="34" spans="1:10" s="24" customFormat="1" ht="13.5" customHeight="1" x14ac:dyDescent="0.2">
      <c r="A34" s="37"/>
      <c r="B34" s="19" t="s">
        <v>35</v>
      </c>
      <c r="C34" s="226">
        <f>SUM(C13:C16)</f>
        <v>6562459.5523480782</v>
      </c>
      <c r="D34" s="226">
        <f t="shared" ref="D34:I34" si="5">SUM(D13:D16)</f>
        <v>707332.97869200003</v>
      </c>
      <c r="E34" s="226">
        <f t="shared" si="5"/>
        <v>296964.77777699998</v>
      </c>
      <c r="F34" s="226">
        <f t="shared" si="5"/>
        <v>6748.788959999999</v>
      </c>
      <c r="G34" s="226">
        <f t="shared" si="5"/>
        <v>23290.971137999997</v>
      </c>
      <c r="H34" s="226">
        <f t="shared" si="5"/>
        <v>204481.098069</v>
      </c>
      <c r="I34" s="226">
        <f t="shared" si="5"/>
        <v>676.80586200000107</v>
      </c>
      <c r="J34" s="227">
        <f>SUM(J13:J16)</f>
        <v>7331559.644788078</v>
      </c>
    </row>
    <row r="35" spans="1:10" s="24" customFormat="1" ht="13.5" customHeight="1" x14ac:dyDescent="0.2">
      <c r="A35" s="37"/>
      <c r="B35" s="19" t="s">
        <v>36</v>
      </c>
      <c r="C35" s="5">
        <f>SUM(C17:C22)</f>
        <v>12955372.378024276</v>
      </c>
      <c r="D35" s="5">
        <f t="shared" ref="D35:I35" si="6">SUM(D17:D22)</f>
        <v>391528.95900000003</v>
      </c>
      <c r="E35" s="5">
        <f t="shared" si="6"/>
        <v>287122.989</v>
      </c>
      <c r="F35" s="5">
        <f t="shared" si="6"/>
        <v>37395.879000000001</v>
      </c>
      <c r="G35" s="5">
        <f t="shared" si="6"/>
        <v>34018.925315039996</v>
      </c>
      <c r="H35" s="5">
        <f t="shared" si="6"/>
        <v>492232.17307280283</v>
      </c>
      <c r="I35" s="5">
        <f t="shared" si="6"/>
        <v>-1.396882609583372E-12</v>
      </c>
      <c r="J35" s="8">
        <f>SUM(J17:J22)</f>
        <v>13070377.348636433</v>
      </c>
    </row>
    <row r="36" spans="1:10" s="24" customFormat="1" ht="13.5" customHeight="1" x14ac:dyDescent="0.2">
      <c r="A36" s="37"/>
      <c r="B36" s="19" t="s">
        <v>37</v>
      </c>
      <c r="C36" s="5">
        <f>SUM(C23:C27)</f>
        <v>12565171.037999999</v>
      </c>
      <c r="D36" s="5">
        <f t="shared" ref="D36:I36" si="7">SUM(D23:D27)</f>
        <v>588495.01199999987</v>
      </c>
      <c r="E36" s="5">
        <f t="shared" si="7"/>
        <v>291262.02299999993</v>
      </c>
      <c r="F36" s="5">
        <f t="shared" si="7"/>
        <v>6950.625</v>
      </c>
      <c r="G36" s="5">
        <f t="shared" si="7"/>
        <v>47387.59199999999</v>
      </c>
      <c r="H36" s="5">
        <f t="shared" si="7"/>
        <v>-205825.60842500007</v>
      </c>
      <c r="I36" s="5">
        <f t="shared" si="7"/>
        <v>-5301.6840000000002</v>
      </c>
      <c r="J36" s="8">
        <f>SUM(J23:J27)</f>
        <v>13601717.148425</v>
      </c>
    </row>
    <row r="37" spans="1:10" s="24" customFormat="1" ht="13.5" customHeight="1" x14ac:dyDescent="0.2">
      <c r="A37" s="38"/>
      <c r="B37" s="20" t="s">
        <v>38</v>
      </c>
      <c r="C37" s="10">
        <f>+SUM(C28:C30)</f>
        <v>5669351.3369999994</v>
      </c>
      <c r="D37" s="10">
        <f t="shared" ref="D37:I37" si="8">+SUM(D28:D30)</f>
        <v>314634.321</v>
      </c>
      <c r="E37" s="10">
        <f t="shared" si="8"/>
        <v>145300.91999999998</v>
      </c>
      <c r="F37" s="10">
        <f t="shared" si="8"/>
        <v>5668.6871099999989</v>
      </c>
      <c r="G37" s="10">
        <f t="shared" si="8"/>
        <v>100587.423</v>
      </c>
      <c r="H37" s="10">
        <f t="shared" si="8"/>
        <v>246207.72800999996</v>
      </c>
      <c r="I37" s="10">
        <f t="shared" si="8"/>
        <v>0.56312700001581106</v>
      </c>
      <c r="J37" s="21">
        <f>+SUM(J28:J30)</f>
        <v>5776822.1767529994</v>
      </c>
    </row>
    <row r="38" spans="1:10" s="24" customFormat="1" ht="13.5" customHeight="1" x14ac:dyDescent="0.2">
      <c r="A38" s="38"/>
      <c r="B38" s="13" t="s">
        <v>20</v>
      </c>
      <c r="C38" s="18">
        <f>+SUM(C33:C37)</f>
        <v>54929132.313202083</v>
      </c>
      <c r="D38" s="22">
        <f t="shared" ref="D38:J38" si="9">+SUM(D33:D37)</f>
        <v>2318765.8422387699</v>
      </c>
      <c r="E38" s="22">
        <f t="shared" si="9"/>
        <v>2499325.1947165839</v>
      </c>
      <c r="F38" s="22">
        <f t="shared" si="9"/>
        <v>56763.980069999998</v>
      </c>
      <c r="G38" s="22">
        <f t="shared" si="9"/>
        <v>265113.02320110507</v>
      </c>
      <c r="H38" s="22">
        <f t="shared" si="9"/>
        <v>-1563912.5562996911</v>
      </c>
      <c r="I38" s="22">
        <f t="shared" si="9"/>
        <v>9603.1366863947405</v>
      </c>
      <c r="J38" s="23">
        <f t="shared" si="9"/>
        <v>60979655.766499639</v>
      </c>
    </row>
    <row r="39" spans="1:10" s="24" customFormat="1" ht="13.5" customHeight="1" x14ac:dyDescent="0.2">
      <c r="B39" s="78"/>
      <c r="C39" s="25"/>
      <c r="D39" s="26"/>
      <c r="E39" s="26"/>
      <c r="F39" s="26"/>
      <c r="G39" s="26"/>
      <c r="H39" s="26"/>
      <c r="I39" s="26"/>
      <c r="J39" s="26"/>
    </row>
    <row r="40" spans="1:10" s="24" customFormat="1" ht="13.5" customHeight="1" x14ac:dyDescent="0.2">
      <c r="B40" s="78"/>
      <c r="C40" s="36"/>
      <c r="D40" s="36"/>
      <c r="E40" s="36"/>
      <c r="F40" s="36"/>
      <c r="G40" s="36"/>
      <c r="H40" s="36"/>
      <c r="I40" s="36"/>
    </row>
    <row r="41" spans="1:10" s="24" customFormat="1" ht="13.5" customHeight="1" x14ac:dyDescent="0.2">
      <c r="B41" s="36"/>
      <c r="C41" s="36"/>
      <c r="D41" s="36"/>
      <c r="E41" s="36"/>
      <c r="F41" s="36"/>
      <c r="G41" s="36"/>
      <c r="H41" s="36"/>
      <c r="I41" s="36"/>
      <c r="J41" s="36"/>
    </row>
    <row r="42" spans="1:10" s="24" customFormat="1" ht="13.5" customHeight="1" x14ac:dyDescent="0.2">
      <c r="C42" s="36"/>
      <c r="D42" s="36"/>
      <c r="E42" s="36"/>
      <c r="F42" s="36"/>
      <c r="G42" s="36"/>
      <c r="H42" s="36"/>
      <c r="I42" s="36"/>
      <c r="J42" s="36"/>
    </row>
    <row r="43" spans="1:10" s="24" customFormat="1" ht="13.5" customHeight="1" x14ac:dyDescent="0.2"/>
    <row r="44" spans="1:10" s="24" customFormat="1" ht="13.5" customHeight="1" x14ac:dyDescent="0.2">
      <c r="C44" s="26"/>
      <c r="D44" s="26"/>
      <c r="E44" s="26"/>
      <c r="F44" s="26"/>
      <c r="G44" s="26"/>
      <c r="H44" s="26"/>
      <c r="I44" s="26"/>
      <c r="J44" s="26"/>
    </row>
    <row r="45" spans="1:10" s="24" customFormat="1" ht="31.5" customHeight="1" x14ac:dyDescent="0.2">
      <c r="C45" s="26"/>
      <c r="D45" s="26"/>
      <c r="E45" s="26"/>
      <c r="F45" s="26"/>
      <c r="G45" s="26"/>
      <c r="H45" s="26"/>
      <c r="I45" s="26"/>
      <c r="J45" s="26"/>
    </row>
    <row r="46" spans="1:10" s="24" customFormat="1" ht="13.5" customHeight="1" x14ac:dyDescent="0.2">
      <c r="C46" s="26"/>
      <c r="D46" s="26"/>
      <c r="E46" s="26"/>
      <c r="F46" s="26"/>
      <c r="G46" s="26"/>
      <c r="H46" s="26"/>
      <c r="I46" s="26"/>
      <c r="J46" s="26"/>
    </row>
    <row r="47" spans="1:10" s="24" customFormat="1" x14ac:dyDescent="0.2">
      <c r="C47" s="26"/>
      <c r="D47" s="26"/>
      <c r="E47" s="26"/>
      <c r="F47" s="26"/>
      <c r="G47" s="26"/>
      <c r="H47" s="26"/>
      <c r="I47" s="26"/>
      <c r="J47" s="26"/>
    </row>
    <row r="48" spans="1:10" s="24" customFormat="1" x14ac:dyDescent="0.2">
      <c r="C48" s="26"/>
      <c r="D48" s="26"/>
      <c r="E48" s="26"/>
      <c r="F48" s="26"/>
      <c r="G48" s="26"/>
      <c r="H48" s="26"/>
      <c r="I48" s="26"/>
      <c r="J48" s="26"/>
    </row>
    <row r="49" spans="3:10" s="24" customFormat="1" x14ac:dyDescent="0.2">
      <c r="C49" s="26"/>
      <c r="D49" s="26"/>
      <c r="E49" s="26"/>
      <c r="F49" s="26"/>
      <c r="G49" s="26"/>
      <c r="H49" s="26"/>
      <c r="I49" s="26"/>
      <c r="J49" s="26"/>
    </row>
    <row r="50" spans="3:10" s="24" customFormat="1" x14ac:dyDescent="0.2">
      <c r="C50" s="26"/>
      <c r="D50" s="26"/>
      <c r="E50" s="26"/>
      <c r="F50" s="26"/>
      <c r="G50" s="26"/>
      <c r="H50" s="26"/>
      <c r="I50" s="26"/>
      <c r="J50" s="26"/>
    </row>
    <row r="51" spans="3:10" s="24" customFormat="1" x14ac:dyDescent="0.2">
      <c r="C51" s="26"/>
      <c r="D51" s="26"/>
      <c r="E51" s="26"/>
      <c r="F51" s="26"/>
      <c r="G51" s="26"/>
      <c r="H51" s="26"/>
      <c r="I51" s="26"/>
      <c r="J51" s="26"/>
    </row>
    <row r="52" spans="3:10" s="24" customFormat="1" x14ac:dyDescent="0.2">
      <c r="C52" s="26"/>
      <c r="D52" s="26"/>
      <c r="E52" s="26"/>
      <c r="F52" s="26"/>
      <c r="G52" s="26"/>
      <c r="H52" s="26"/>
      <c r="I52" s="26"/>
      <c r="J52" s="26"/>
    </row>
    <row r="53" spans="3:10" s="24" customFormat="1" x14ac:dyDescent="0.2">
      <c r="C53" s="26"/>
      <c r="D53" s="26"/>
      <c r="E53" s="26"/>
      <c r="F53" s="26"/>
      <c r="G53" s="26"/>
      <c r="H53" s="26"/>
      <c r="I53" s="26"/>
      <c r="J53" s="26"/>
    </row>
    <row r="54" spans="3:10" s="24" customFormat="1" x14ac:dyDescent="0.2"/>
    <row r="55" spans="3:10" s="24" customFormat="1" x14ac:dyDescent="0.2"/>
    <row r="56" spans="3:10" s="24" customFormat="1" x14ac:dyDescent="0.2"/>
    <row r="57" spans="3:10" s="24" customFormat="1" x14ac:dyDescent="0.2">
      <c r="C57" s="26"/>
      <c r="D57" s="26"/>
      <c r="E57" s="26"/>
      <c r="F57" s="26"/>
      <c r="G57" s="26"/>
      <c r="H57" s="26"/>
      <c r="I57" s="26"/>
      <c r="J57" s="26"/>
    </row>
    <row r="58" spans="3:10" s="24" customFormat="1" x14ac:dyDescent="0.2">
      <c r="C58" s="26"/>
      <c r="D58" s="26"/>
      <c r="E58" s="26"/>
      <c r="F58" s="26"/>
      <c r="G58" s="26"/>
      <c r="H58" s="26"/>
      <c r="I58" s="26"/>
      <c r="J58" s="26"/>
    </row>
    <row r="59" spans="3:10" s="24" customFormat="1" x14ac:dyDescent="0.2">
      <c r="C59" s="26"/>
      <c r="D59" s="26"/>
      <c r="E59" s="26"/>
      <c r="F59" s="26"/>
      <c r="G59" s="26"/>
      <c r="H59" s="26"/>
      <c r="I59" s="26"/>
      <c r="J59" s="26"/>
    </row>
    <row r="60" spans="3:10" s="24" customFormat="1" x14ac:dyDescent="0.2">
      <c r="C60" s="26"/>
      <c r="D60" s="26"/>
      <c r="E60" s="26"/>
      <c r="F60" s="26"/>
      <c r="G60" s="26"/>
      <c r="H60" s="26"/>
      <c r="I60" s="26"/>
      <c r="J60" s="26"/>
    </row>
    <row r="61" spans="3:10" s="24" customFormat="1" x14ac:dyDescent="0.2">
      <c r="C61" s="26"/>
      <c r="D61" s="26"/>
      <c r="E61" s="26"/>
      <c r="F61" s="26"/>
      <c r="G61" s="26"/>
      <c r="H61" s="26"/>
      <c r="I61" s="26"/>
      <c r="J61" s="26"/>
    </row>
    <row r="62" spans="3:10" s="24" customFormat="1" x14ac:dyDescent="0.2">
      <c r="C62" s="26"/>
      <c r="D62" s="26"/>
      <c r="E62" s="26"/>
      <c r="F62" s="26"/>
      <c r="G62" s="26"/>
      <c r="H62" s="26"/>
      <c r="I62" s="26"/>
      <c r="J62" s="26"/>
    </row>
    <row r="63" spans="3:10" s="24" customFormat="1" x14ac:dyDescent="0.2">
      <c r="C63" s="26"/>
      <c r="D63" s="26"/>
      <c r="E63" s="26"/>
      <c r="F63" s="26"/>
      <c r="G63" s="26"/>
      <c r="H63" s="26"/>
      <c r="I63" s="26"/>
      <c r="J63" s="26"/>
    </row>
    <row r="64" spans="3:10" s="24" customFormat="1" x14ac:dyDescent="0.2">
      <c r="C64" s="26"/>
      <c r="D64" s="26"/>
      <c r="E64" s="26"/>
      <c r="F64" s="26"/>
      <c r="G64" s="26"/>
      <c r="H64" s="26"/>
      <c r="I64" s="26"/>
      <c r="J64" s="26"/>
    </row>
    <row r="65" spans="3:10" s="24" customFormat="1" x14ac:dyDescent="0.2">
      <c r="C65" s="26"/>
      <c r="D65" s="26"/>
      <c r="E65" s="26"/>
      <c r="F65" s="26"/>
      <c r="G65" s="26"/>
      <c r="H65" s="26"/>
      <c r="I65" s="26"/>
      <c r="J65" s="26"/>
    </row>
    <row r="66" spans="3:10" s="24" customFormat="1" x14ac:dyDescent="0.2">
      <c r="C66" s="26"/>
      <c r="D66" s="26"/>
      <c r="E66" s="26"/>
      <c r="F66" s="26"/>
      <c r="G66" s="26"/>
      <c r="H66" s="26"/>
      <c r="I66" s="26"/>
      <c r="J66" s="26"/>
    </row>
    <row r="67" spans="3:10" s="24" customFormat="1" x14ac:dyDescent="0.2">
      <c r="C67" s="26"/>
      <c r="D67" s="26"/>
      <c r="E67" s="26"/>
      <c r="F67" s="26"/>
      <c r="G67" s="26"/>
      <c r="H67" s="26"/>
      <c r="I67" s="26"/>
      <c r="J67" s="26"/>
    </row>
    <row r="68" spans="3:10" s="24" customFormat="1" x14ac:dyDescent="0.2">
      <c r="C68" s="26"/>
      <c r="D68" s="26"/>
      <c r="E68" s="26"/>
      <c r="F68" s="26"/>
      <c r="G68" s="26"/>
      <c r="H68" s="26"/>
      <c r="I68" s="26"/>
      <c r="J68" s="26"/>
    </row>
    <row r="69" spans="3:10" s="24" customFormat="1" x14ac:dyDescent="0.2">
      <c r="C69" s="26"/>
      <c r="D69" s="26"/>
      <c r="E69" s="26"/>
      <c r="F69" s="26"/>
      <c r="G69" s="26"/>
      <c r="H69" s="26"/>
      <c r="I69" s="26"/>
      <c r="J69" s="26"/>
    </row>
    <row r="70" spans="3:10" s="24" customFormat="1" x14ac:dyDescent="0.2">
      <c r="C70" s="26"/>
      <c r="D70" s="26"/>
      <c r="E70" s="26"/>
      <c r="F70" s="26"/>
      <c r="G70" s="26"/>
      <c r="H70" s="26"/>
      <c r="I70" s="26"/>
      <c r="J70" s="26"/>
    </row>
    <row r="71" spans="3:10" s="24" customFormat="1" x14ac:dyDescent="0.2">
      <c r="C71" s="26"/>
      <c r="D71" s="26"/>
      <c r="E71" s="26"/>
      <c r="F71" s="26"/>
      <c r="G71" s="26"/>
      <c r="H71" s="26"/>
      <c r="I71" s="26"/>
      <c r="J71" s="26"/>
    </row>
    <row r="72" spans="3:10" s="24" customFormat="1" x14ac:dyDescent="0.2">
      <c r="C72" s="26"/>
      <c r="D72" s="26"/>
      <c r="E72" s="26"/>
      <c r="F72" s="26"/>
      <c r="G72" s="26"/>
      <c r="H72" s="26"/>
      <c r="I72" s="26"/>
      <c r="J72" s="26"/>
    </row>
    <row r="73" spans="3:10" s="24" customFormat="1" x14ac:dyDescent="0.2">
      <c r="C73" s="26"/>
      <c r="D73" s="26"/>
      <c r="E73" s="26"/>
      <c r="F73" s="26"/>
      <c r="G73" s="26"/>
      <c r="H73" s="26"/>
      <c r="I73" s="26"/>
      <c r="J73" s="26"/>
    </row>
    <row r="74" spans="3:10" s="24" customFormat="1" x14ac:dyDescent="0.2">
      <c r="C74" s="26"/>
      <c r="D74" s="26"/>
      <c r="E74" s="26"/>
      <c r="F74" s="26"/>
      <c r="G74" s="26"/>
      <c r="H74" s="26"/>
      <c r="I74" s="26"/>
      <c r="J74" s="26"/>
    </row>
    <row r="75" spans="3:10" s="24" customFormat="1" x14ac:dyDescent="0.2">
      <c r="C75" s="26"/>
      <c r="D75" s="26"/>
      <c r="E75" s="26"/>
      <c r="F75" s="26"/>
      <c r="G75" s="26"/>
      <c r="H75" s="26"/>
      <c r="I75" s="26"/>
      <c r="J75" s="26"/>
    </row>
    <row r="76" spans="3:10" s="24" customFormat="1" x14ac:dyDescent="0.2">
      <c r="C76" s="26"/>
      <c r="D76" s="26"/>
      <c r="E76" s="26"/>
      <c r="F76" s="26"/>
      <c r="G76" s="26"/>
      <c r="H76" s="26"/>
      <c r="I76" s="26"/>
      <c r="J76" s="26"/>
    </row>
    <row r="77" spans="3:10" s="24" customFormat="1" x14ac:dyDescent="0.2">
      <c r="C77" s="26"/>
      <c r="D77" s="26"/>
      <c r="E77" s="26"/>
      <c r="F77" s="26"/>
      <c r="G77" s="26"/>
      <c r="H77" s="26"/>
      <c r="I77" s="26"/>
      <c r="J77" s="26"/>
    </row>
    <row r="78" spans="3:10" s="24" customFormat="1" x14ac:dyDescent="0.2">
      <c r="C78" s="26"/>
      <c r="D78" s="26"/>
      <c r="E78" s="26"/>
      <c r="F78" s="26"/>
      <c r="G78" s="26"/>
      <c r="H78" s="26"/>
      <c r="I78" s="26"/>
      <c r="J78" s="26"/>
    </row>
    <row r="79" spans="3:10" s="24" customFormat="1" x14ac:dyDescent="0.2">
      <c r="C79" s="26"/>
      <c r="D79" s="26"/>
      <c r="E79" s="26"/>
      <c r="F79" s="26"/>
      <c r="G79" s="26"/>
      <c r="H79" s="26"/>
      <c r="I79" s="26"/>
      <c r="J79" s="26"/>
    </row>
    <row r="80" spans="3:10" s="24" customFormat="1" x14ac:dyDescent="0.2">
      <c r="C80" s="26"/>
      <c r="D80" s="26"/>
      <c r="E80" s="26"/>
      <c r="F80" s="26"/>
      <c r="G80" s="26"/>
      <c r="H80" s="26"/>
      <c r="I80" s="26"/>
      <c r="J80" s="26"/>
    </row>
    <row r="81" spans="3:10" s="24" customFormat="1" x14ac:dyDescent="0.2">
      <c r="C81" s="26"/>
      <c r="D81" s="26"/>
      <c r="E81" s="26"/>
      <c r="F81" s="26"/>
      <c r="G81" s="26"/>
      <c r="H81" s="26"/>
      <c r="I81" s="26"/>
      <c r="J81" s="26"/>
    </row>
    <row r="82" spans="3:10" s="24" customFormat="1" x14ac:dyDescent="0.2">
      <c r="C82" s="26"/>
      <c r="D82" s="26"/>
      <c r="E82" s="26"/>
      <c r="F82" s="26"/>
      <c r="G82" s="26"/>
      <c r="H82" s="26"/>
      <c r="I82" s="26"/>
      <c r="J82" s="26"/>
    </row>
    <row r="83" spans="3:10" s="24" customFormat="1" x14ac:dyDescent="0.2">
      <c r="C83" s="26"/>
      <c r="D83" s="26"/>
      <c r="E83" s="26"/>
      <c r="F83" s="26"/>
      <c r="G83" s="26"/>
      <c r="H83" s="26"/>
      <c r="I83" s="26"/>
      <c r="J83" s="26"/>
    </row>
    <row r="84" spans="3:10" s="24" customFormat="1" x14ac:dyDescent="0.2">
      <c r="C84" s="26"/>
      <c r="D84" s="26"/>
      <c r="E84" s="26"/>
      <c r="F84" s="26"/>
      <c r="G84" s="26"/>
      <c r="H84" s="26"/>
      <c r="I84" s="26"/>
      <c r="J84" s="26"/>
    </row>
    <row r="85" spans="3:10" s="24" customFormat="1" x14ac:dyDescent="0.2">
      <c r="C85" s="26"/>
      <c r="D85" s="26"/>
      <c r="E85" s="26"/>
      <c r="F85" s="26"/>
      <c r="G85" s="26"/>
      <c r="H85" s="26"/>
      <c r="I85" s="26"/>
      <c r="J85" s="26"/>
    </row>
    <row r="86" spans="3:10" s="24" customFormat="1" x14ac:dyDescent="0.2">
      <c r="C86" s="26"/>
      <c r="D86" s="26"/>
      <c r="E86" s="26"/>
      <c r="F86" s="26"/>
      <c r="G86" s="26"/>
      <c r="H86" s="26"/>
      <c r="I86" s="26"/>
      <c r="J86" s="26"/>
    </row>
  </sheetData>
  <pageMargins left="0.51181102362204722" right="0.43307086614173229" top="0.51181102362204722" bottom="0.19685039370078741" header="0.23622047244094491" footer="0.23622047244094491"/>
  <pageSetup paperSize="9" scale="47" orientation="landscape" horizontalDpi="300" verticalDpi="300" r:id="rId1"/>
  <headerFooter alignWithMargins="0">
    <oddHeader>&amp;CSide 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zoomScaleNormal="100" workbookViewId="0"/>
  </sheetViews>
  <sheetFormatPr defaultColWidth="9.140625" defaultRowHeight="12" x14ac:dyDescent="0.2"/>
  <cols>
    <col min="1" max="1" width="8.5703125" style="24" customWidth="1"/>
    <col min="2" max="2" width="39.28515625" style="24" customWidth="1"/>
    <col min="3" max="9" width="10" style="26" customWidth="1"/>
    <col min="10" max="10" width="19.28515625" style="26" customWidth="1"/>
    <col min="11" max="11" width="12.7109375" style="24" customWidth="1"/>
    <col min="12" max="12" width="9.140625" style="80"/>
    <col min="13" max="13" width="9.140625" style="24"/>
    <col min="14" max="14" width="12.85546875" style="24" customWidth="1"/>
    <col min="15" max="16384" width="9.140625" style="24"/>
  </cols>
  <sheetData>
    <row r="1" spans="1:15" ht="15.75" x14ac:dyDescent="0.25">
      <c r="A1" s="72"/>
      <c r="F1" s="38"/>
      <c r="L1" s="79"/>
      <c r="M1" s="39"/>
    </row>
    <row r="2" spans="1:15" ht="13.5" customHeight="1" x14ac:dyDescent="0.2">
      <c r="A2" s="31" t="s">
        <v>143</v>
      </c>
      <c r="E2" s="27"/>
      <c r="F2" s="27"/>
      <c r="G2" s="27"/>
      <c r="H2" s="28"/>
      <c r="I2" s="32"/>
      <c r="J2" s="28"/>
      <c r="L2" s="79"/>
      <c r="M2" s="39"/>
    </row>
    <row r="3" spans="1:15" ht="13.5" customHeight="1" x14ac:dyDescent="0.2">
      <c r="A3" s="33" t="s">
        <v>43</v>
      </c>
      <c r="E3" s="27"/>
      <c r="F3" s="27"/>
      <c r="G3" s="27"/>
      <c r="H3" s="28"/>
      <c r="I3" s="27"/>
      <c r="J3" s="28"/>
      <c r="L3" s="79"/>
      <c r="M3" s="39"/>
    </row>
    <row r="4" spans="1:15" ht="54" customHeight="1" x14ac:dyDescent="0.2">
      <c r="A4" s="73" t="s">
        <v>12</v>
      </c>
      <c r="B4" s="73" t="s">
        <v>0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21</v>
      </c>
      <c r="L4" s="79"/>
      <c r="M4" s="39"/>
    </row>
    <row r="5" spans="1:15" ht="13.5" customHeight="1" x14ac:dyDescent="0.2">
      <c r="A5" s="74">
        <f>+'(skema1-7_2013 - 13pl)'!A5</f>
        <v>1301</v>
      </c>
      <c r="B5" s="4" t="str">
        <f>+'(skema1-7_2013 - 13pl)'!B5</f>
        <v>Rigshospitalet</v>
      </c>
      <c r="C5" s="47">
        <v>4635207.6304799989</v>
      </c>
      <c r="D5" s="5">
        <v>56511.233263034388</v>
      </c>
      <c r="E5" s="5">
        <v>525640.07051896839</v>
      </c>
      <c r="F5" s="5">
        <v>0</v>
      </c>
      <c r="G5" s="5">
        <v>49704.616130000002</v>
      </c>
      <c r="H5" s="5">
        <v>-1778012.2330152649</v>
      </c>
      <c r="I5" s="5">
        <v>37735.553197038913</v>
      </c>
      <c r="J5" s="9">
        <f>SUM(C5:E5)-SUM(F5:I5)-0</f>
        <v>6907930.9979502279</v>
      </c>
      <c r="K5" s="259"/>
      <c r="L5" s="16"/>
      <c r="M5" s="80"/>
      <c r="N5" s="80"/>
    </row>
    <row r="6" spans="1:15" ht="13.5" customHeight="1" x14ac:dyDescent="0.2">
      <c r="A6" s="75">
        <f>+'(skema1-7_2013 - 13pl)'!A6</f>
        <v>1309</v>
      </c>
      <c r="B6" s="7" t="str">
        <f>+'(skema1-7_2013 - 13pl)'!B6</f>
        <v>Bispebjerg og Frederiksberg Hospital</v>
      </c>
      <c r="C6" s="47">
        <v>2306780.9477599999</v>
      </c>
      <c r="D6" s="5">
        <v>16720.450194500627</v>
      </c>
      <c r="E6" s="5">
        <v>195958.58073430372</v>
      </c>
      <c r="F6" s="5">
        <v>0</v>
      </c>
      <c r="G6" s="5">
        <v>1174.5214699999999</v>
      </c>
      <c r="H6" s="5">
        <v>-79534.561364673951</v>
      </c>
      <c r="I6" s="5">
        <v>-12132.47839508805</v>
      </c>
      <c r="J6" s="9">
        <f>SUM(C6:E6)-SUM(F6:I6)-9788</f>
        <v>2600164.4969785665</v>
      </c>
      <c r="K6" s="259"/>
      <c r="L6" s="16"/>
      <c r="M6" s="80"/>
      <c r="N6" s="80"/>
    </row>
    <row r="7" spans="1:15" ht="13.5" customHeight="1" x14ac:dyDescent="0.2">
      <c r="A7" s="75">
        <f>+'(skema1-7_2013 - 13pl)'!A7</f>
        <v>1330</v>
      </c>
      <c r="B7" s="7" t="str">
        <f>+'(skema1-7_2013 - 13pl)'!B7</f>
        <v>Amager og Hvidovre Hospital</v>
      </c>
      <c r="C7" s="47">
        <v>2235691.8319999999</v>
      </c>
      <c r="D7" s="5">
        <v>16377.242752037957</v>
      </c>
      <c r="E7" s="5">
        <v>193133.77903558675</v>
      </c>
      <c r="F7" s="5">
        <v>0</v>
      </c>
      <c r="G7" s="5">
        <v>1947.1289999999999</v>
      </c>
      <c r="H7" s="5">
        <v>-248527.57895793847</v>
      </c>
      <c r="I7" s="5">
        <v>2615.0095110340844</v>
      </c>
      <c r="J7" s="9">
        <f>SUM(C7:E7)-SUM(F7:I7)-13184</f>
        <v>2675984.2942345291</v>
      </c>
      <c r="K7" s="259"/>
      <c r="L7" s="16"/>
      <c r="M7" s="80"/>
      <c r="N7" s="80"/>
      <c r="O7" s="80"/>
    </row>
    <row r="8" spans="1:15" ht="13.5" customHeight="1" x14ac:dyDescent="0.2">
      <c r="A8" s="75">
        <f>+'(skema1-7_2013 - 13pl)'!A8</f>
        <v>1501</v>
      </c>
      <c r="B8" s="7" t="str">
        <f>+'(skema1-7_2013 - 13pl)'!B8</f>
        <v>Gentofte Hospital</v>
      </c>
      <c r="C8" s="47">
        <v>1166021.5845699999</v>
      </c>
      <c r="D8" s="5">
        <v>8682.9260783970713</v>
      </c>
      <c r="E8" s="5">
        <v>99432.372061974209</v>
      </c>
      <c r="F8" s="5">
        <v>0</v>
      </c>
      <c r="G8" s="5">
        <v>0</v>
      </c>
      <c r="H8" s="5">
        <v>-59419.816920000027</v>
      </c>
      <c r="I8" s="5">
        <v>-15662.068938406106</v>
      </c>
      <c r="J8" s="9">
        <f>SUM(C8:E8)-SUM(F8:I8)-2310</f>
        <v>1346908.7685687772</v>
      </c>
      <c r="K8" s="259"/>
      <c r="L8" s="16"/>
      <c r="M8" s="80"/>
      <c r="N8" s="80"/>
      <c r="O8" s="80"/>
    </row>
    <row r="9" spans="1:15" ht="13.5" customHeight="1" x14ac:dyDescent="0.2">
      <c r="A9" s="75">
        <f>+'(skema1-7_2013 - 13pl)'!A9</f>
        <v>1502</v>
      </c>
      <c r="B9" s="7" t="str">
        <f>+'(skema1-7_2013 - 13pl)'!B9</f>
        <v>Glostrup Hospital</v>
      </c>
      <c r="C9" s="47">
        <v>1574151.7945099999</v>
      </c>
      <c r="D9" s="5">
        <v>14087.741196739264</v>
      </c>
      <c r="E9" s="5">
        <v>139897.2988045614</v>
      </c>
      <c r="F9" s="5">
        <v>0</v>
      </c>
      <c r="G9" s="5">
        <v>0</v>
      </c>
      <c r="H9" s="5">
        <v>-153146.463137541</v>
      </c>
      <c r="I9" s="5">
        <v>-6535.1121056434149</v>
      </c>
      <c r="J9" s="9">
        <f>SUM(C9:E9)-SUM(F9:I9)-2769</f>
        <v>1885049.4097544849</v>
      </c>
      <c r="K9" s="259"/>
      <c r="L9" s="16"/>
      <c r="M9" s="80"/>
      <c r="N9" s="80"/>
      <c r="O9" s="80"/>
    </row>
    <row r="10" spans="1:15" ht="13.5" customHeight="1" x14ac:dyDescent="0.2">
      <c r="A10" s="75">
        <f>+'(skema1-7_2013 - 13pl)'!A10</f>
        <v>1516</v>
      </c>
      <c r="B10" s="7" t="str">
        <f>+'(skema1-7_2013 - 13pl)'!B10</f>
        <v>Herlev Hospital</v>
      </c>
      <c r="C10" s="47">
        <v>3145650.7436500005</v>
      </c>
      <c r="D10" s="5">
        <v>26961.042382328429</v>
      </c>
      <c r="E10" s="5">
        <v>272738.02746518108</v>
      </c>
      <c r="F10" s="5">
        <v>0</v>
      </c>
      <c r="G10" s="5">
        <v>11969.287670000002</v>
      </c>
      <c r="H10" s="5">
        <v>-129396.1213185658</v>
      </c>
      <c r="I10" s="5">
        <v>37624.238511331372</v>
      </c>
      <c r="J10" s="9">
        <f>SUM(C10:E10)-SUM(F10:I10)-9527</f>
        <v>3515625.4086347441</v>
      </c>
      <c r="K10" s="259"/>
      <c r="L10" s="16"/>
      <c r="M10" s="80"/>
      <c r="N10" s="80"/>
      <c r="O10" s="80"/>
    </row>
    <row r="11" spans="1:15" ht="13.5" customHeight="1" x14ac:dyDescent="0.2">
      <c r="A11" s="75">
        <f>+'(skema1-7_2013 - 13pl)'!A11</f>
        <v>2000</v>
      </c>
      <c r="B11" s="7" t="str">
        <f>+'(skema1-7_2013 - 13pl)'!B11</f>
        <v>Nordsjællands Hospital</v>
      </c>
      <c r="C11" s="47">
        <v>2261542.07437</v>
      </c>
      <c r="D11" s="5">
        <v>15379.022146522555</v>
      </c>
      <c r="E11" s="5">
        <v>185379.93868776539</v>
      </c>
      <c r="F11" s="5">
        <v>0</v>
      </c>
      <c r="G11" s="5">
        <v>1918.9296800000002</v>
      </c>
      <c r="H11" s="5">
        <v>89494.049146131001</v>
      </c>
      <c r="I11" s="5">
        <v>-28082.824981121084</v>
      </c>
      <c r="J11" s="9">
        <f>SUM(C11:E11)-SUM(F11:I11)-8749</f>
        <v>2390221.8813592782</v>
      </c>
      <c r="K11" s="259"/>
      <c r="L11" s="16"/>
      <c r="M11" s="80"/>
      <c r="N11" s="80"/>
      <c r="O11" s="80"/>
    </row>
    <row r="12" spans="1:15" ht="13.5" customHeight="1" x14ac:dyDescent="0.2">
      <c r="A12" s="75">
        <f>+'(skema1-7_2013 - 13pl)'!A12</f>
        <v>4001</v>
      </c>
      <c r="B12" s="7" t="str">
        <f>+'(skema1-7_2013 - 13pl)'!B12</f>
        <v>Bornholms Hospital</v>
      </c>
      <c r="C12" s="47">
        <v>394471.02907000005</v>
      </c>
      <c r="D12" s="5">
        <v>2711.9309644230443</v>
      </c>
      <c r="E12" s="5">
        <v>32075.929692877213</v>
      </c>
      <c r="F12" s="5">
        <v>0</v>
      </c>
      <c r="G12" s="5">
        <v>218</v>
      </c>
      <c r="H12" s="5">
        <v>32130.725429999999</v>
      </c>
      <c r="I12" s="5">
        <v>4252.9429694972432</v>
      </c>
      <c r="J12" s="9">
        <f>SUM(C12:E12)-SUM(F12:I12)-2753</f>
        <v>389904.2213278031</v>
      </c>
      <c r="K12" s="259"/>
      <c r="L12" s="16"/>
      <c r="M12" s="80"/>
      <c r="N12" s="80"/>
      <c r="O12" s="80"/>
    </row>
    <row r="13" spans="1:15" ht="13.5" customHeight="1" x14ac:dyDescent="0.2">
      <c r="A13" s="75">
        <f>+'(skema1-7_2013 - 13pl)'!A13</f>
        <v>3810</v>
      </c>
      <c r="B13" s="7" t="str">
        <f>+'(skema1-7_2013 - 13pl)'!B13</f>
        <v>Roskilde og Køge sygehuse</v>
      </c>
      <c r="C13" s="47">
        <v>2799671</v>
      </c>
      <c r="D13" s="5">
        <v>257769.68099999992</v>
      </c>
      <c r="E13" s="5">
        <v>127632.181</v>
      </c>
      <c r="F13" s="5">
        <v>0</v>
      </c>
      <c r="G13" s="5">
        <v>9387</v>
      </c>
      <c r="H13" s="5">
        <v>77463.600000000006</v>
      </c>
      <c r="I13" s="5">
        <v>25638</v>
      </c>
      <c r="J13" s="9">
        <f t="shared" ref="J13:J30" si="0">SUM(C13:E13)-SUM(F13:I13)</f>
        <v>3072584.2619999996</v>
      </c>
      <c r="K13" s="259"/>
      <c r="L13" s="16"/>
      <c r="M13" s="80"/>
      <c r="N13" s="80"/>
      <c r="O13" s="80"/>
    </row>
    <row r="14" spans="1:15" ht="13.5" customHeight="1" x14ac:dyDescent="0.2">
      <c r="A14" s="75">
        <f>+'(skema1-7_2013 - 13pl)'!A14</f>
        <v>3820</v>
      </c>
      <c r="B14" s="7" t="str">
        <f>+'(skema1-7_2013 - 13pl)'!B14</f>
        <v>Holbæk Sygehus</v>
      </c>
      <c r="C14" s="47">
        <v>1004666.147</v>
      </c>
      <c r="D14" s="5">
        <v>111920.11999999997</v>
      </c>
      <c r="E14" s="5">
        <v>49625.73</v>
      </c>
      <c r="F14" s="5">
        <v>4095</v>
      </c>
      <c r="G14" s="5">
        <v>5173</v>
      </c>
      <c r="H14" s="5">
        <v>30327.965604783611</v>
      </c>
      <c r="I14" s="5">
        <v>-23021.5107951918</v>
      </c>
      <c r="J14" s="9">
        <f t="shared" si="0"/>
        <v>1149637.5421904081</v>
      </c>
      <c r="K14" s="259"/>
      <c r="L14" s="16"/>
      <c r="M14" s="80"/>
      <c r="N14" s="80"/>
      <c r="O14" s="80"/>
    </row>
    <row r="15" spans="1:15" ht="13.5" customHeight="1" x14ac:dyDescent="0.2">
      <c r="A15" s="75">
        <f>+'(skema1-7_2013 - 13pl)'!A15</f>
        <v>3830</v>
      </c>
      <c r="B15" s="7" t="str">
        <f>+'(skema1-7_2013 - 13pl)'!B15</f>
        <v>Næstved, Slagelse og Ringsted sygehuse</v>
      </c>
      <c r="C15" s="47">
        <v>2392626</v>
      </c>
      <c r="D15" s="5">
        <v>266010.35400000005</v>
      </c>
      <c r="E15" s="5">
        <v>116546.656</v>
      </c>
      <c r="F15" s="5">
        <v>3266</v>
      </c>
      <c r="G15" s="5">
        <v>11262</v>
      </c>
      <c r="H15" s="5">
        <v>114207</v>
      </c>
      <c r="I15" s="5">
        <v>53277</v>
      </c>
      <c r="J15" s="9">
        <f t="shared" si="0"/>
        <v>2593171.0100000002</v>
      </c>
      <c r="K15" s="259"/>
      <c r="L15" s="16"/>
      <c r="M15" s="80"/>
      <c r="N15" s="80"/>
      <c r="O15" s="80"/>
    </row>
    <row r="16" spans="1:15" ht="13.5" customHeight="1" x14ac:dyDescent="0.2">
      <c r="A16" s="75">
        <f>+'(skema1-7_2013 - 13pl)'!A16</f>
        <v>3840</v>
      </c>
      <c r="B16" s="7" t="str">
        <f>+'(skema1-7_2013 - 13pl)'!B16</f>
        <v>Nykøbing Sygehus</v>
      </c>
      <c r="C16" s="47">
        <v>722831.06095000007</v>
      </c>
      <c r="D16" s="5">
        <v>82982.208000000013</v>
      </c>
      <c r="E16" s="5">
        <v>36111.764999999999</v>
      </c>
      <c r="F16" s="5">
        <v>0</v>
      </c>
      <c r="G16" s="5">
        <v>1693.3643075000002</v>
      </c>
      <c r="H16" s="5">
        <v>18811.142350000006</v>
      </c>
      <c r="I16" s="5">
        <v>-55538.029439999998</v>
      </c>
      <c r="J16" s="9">
        <f t="shared" si="0"/>
        <v>876958.55673250009</v>
      </c>
      <c r="K16" s="259"/>
      <c r="L16" s="16"/>
      <c r="M16" s="80"/>
      <c r="N16" s="80"/>
    </row>
    <row r="17" spans="1:14" ht="13.5" customHeight="1" x14ac:dyDescent="0.2">
      <c r="A17" s="75">
        <f>+'(skema1-7_2013 - 13pl)'!A17</f>
        <v>4202</v>
      </c>
      <c r="B17" s="7" t="str">
        <f>+'(skema1-7_2013 - 13pl)'!B17</f>
        <v>Odense Universitetshospital</v>
      </c>
      <c r="C17" s="47">
        <v>6368664</v>
      </c>
      <c r="D17" s="5">
        <v>179788</v>
      </c>
      <c r="E17" s="5">
        <v>131605</v>
      </c>
      <c r="F17" s="5">
        <v>8611</v>
      </c>
      <c r="G17" s="5">
        <v>16788</v>
      </c>
      <c r="H17" s="5">
        <v>200996</v>
      </c>
      <c r="I17" s="5">
        <v>-1993</v>
      </c>
      <c r="J17" s="9">
        <f t="shared" si="0"/>
        <v>6455655</v>
      </c>
      <c r="K17" s="259"/>
      <c r="L17" s="16"/>
      <c r="M17" s="80"/>
      <c r="N17" s="80"/>
    </row>
    <row r="18" spans="1:14" ht="13.5" customHeight="1" x14ac:dyDescent="0.2">
      <c r="A18" s="75">
        <f>+'(skema1-7_2013 - 13pl)'!A18</f>
        <v>5000</v>
      </c>
      <c r="B18" s="7" t="str">
        <f>+'(skema1-7_2013 - 13pl)'!B18</f>
        <v>Sygehus Sønderjylland</v>
      </c>
      <c r="C18" s="47">
        <v>1783673</v>
      </c>
      <c r="D18" s="5">
        <v>50353</v>
      </c>
      <c r="E18" s="5">
        <v>36858</v>
      </c>
      <c r="F18" s="5">
        <v>2101</v>
      </c>
      <c r="G18" s="5">
        <v>5471</v>
      </c>
      <c r="H18" s="5">
        <v>122038</v>
      </c>
      <c r="I18" s="5">
        <v>2238</v>
      </c>
      <c r="J18" s="9">
        <f t="shared" si="0"/>
        <v>1739036</v>
      </c>
      <c r="K18" s="259"/>
      <c r="L18" s="16"/>
      <c r="M18" s="80"/>
      <c r="N18" s="80"/>
    </row>
    <row r="19" spans="1:14" ht="13.5" customHeight="1" x14ac:dyDescent="0.2">
      <c r="A19" s="75">
        <f>+'(skema1-7_2013 - 13pl)'!A19</f>
        <v>5501</v>
      </c>
      <c r="B19" s="7" t="str">
        <f>+'(skema1-7_2013 - 13pl)'!B19</f>
        <v>Sydvestjysk Sygehus</v>
      </c>
      <c r="C19" s="47">
        <v>1728865</v>
      </c>
      <c r="D19" s="5">
        <v>48805</v>
      </c>
      <c r="E19" s="5">
        <v>35726</v>
      </c>
      <c r="F19" s="5">
        <v>2901</v>
      </c>
      <c r="G19" s="5">
        <v>4208</v>
      </c>
      <c r="H19" s="5">
        <v>78250</v>
      </c>
      <c r="I19" s="5">
        <v>204</v>
      </c>
      <c r="J19" s="9">
        <f t="shared" si="0"/>
        <v>1727833</v>
      </c>
      <c r="K19" s="259"/>
      <c r="L19" s="16"/>
      <c r="M19" s="80"/>
      <c r="N19" s="80"/>
    </row>
    <row r="20" spans="1:14" ht="13.5" customHeight="1" x14ac:dyDescent="0.2">
      <c r="A20" s="75">
        <f>+'(skema1-7_2013 - 13pl)'!A20</f>
        <v>6007</v>
      </c>
      <c r="B20" s="7" t="str">
        <f>+'(skema1-7_2013 - 13pl)'!B20</f>
        <v>Fredericia og Kolding sygehuse</v>
      </c>
      <c r="C20" s="47">
        <v>1422460</v>
      </c>
      <c r="D20" s="5">
        <v>40755</v>
      </c>
      <c r="E20" s="5">
        <v>29833</v>
      </c>
      <c r="F20" s="5">
        <v>15453.29</v>
      </c>
      <c r="G20" s="5">
        <v>1244.8</v>
      </c>
      <c r="H20" s="5">
        <f>42114.6758704116+2400</f>
        <v>44514.6758704116</v>
      </c>
      <c r="I20" s="5">
        <v>-15597</v>
      </c>
      <c r="J20" s="9">
        <f t="shared" si="0"/>
        <v>1447432.2341295884</v>
      </c>
      <c r="K20" s="259"/>
      <c r="L20" s="16"/>
      <c r="M20" s="80"/>
      <c r="N20" s="80"/>
    </row>
    <row r="21" spans="1:14" ht="13.5" customHeight="1" x14ac:dyDescent="0.2">
      <c r="A21" s="75">
        <f>+'(skema1-7_2013 - 13pl)'!A21</f>
        <v>6008</v>
      </c>
      <c r="B21" s="7" t="str">
        <f>+'(skema1-7_2013 - 13pl)'!B21</f>
        <v>Vejle-Give-Middelfart sygehuse</v>
      </c>
      <c r="C21" s="47">
        <v>1716041</v>
      </c>
      <c r="D21" s="5">
        <v>47843</v>
      </c>
      <c r="E21" s="5">
        <v>35022</v>
      </c>
      <c r="F21" s="5">
        <v>9243.7379999999994</v>
      </c>
      <c r="G21" s="5">
        <v>5194.3999999999996</v>
      </c>
      <c r="H21" s="5">
        <f>58989.5503687349+1420</f>
        <v>60409.550368734897</v>
      </c>
      <c r="I21" s="5">
        <v>15148</v>
      </c>
      <c r="J21" s="9">
        <f t="shared" si="0"/>
        <v>1708910.3116312651</v>
      </c>
      <c r="K21" s="259"/>
      <c r="L21" s="16"/>
      <c r="M21" s="80"/>
      <c r="N21" s="80"/>
    </row>
    <row r="22" spans="1:14" ht="13.5" customHeight="1" x14ac:dyDescent="0.2">
      <c r="A22" s="75">
        <f>+'(skema1-7_2013 - 13pl)'!A22</f>
        <v>6013</v>
      </c>
      <c r="B22" s="7" t="str">
        <f>+'(skema1-7_2013 - 13pl)'!B22</f>
        <v>De Vestdanske Friklinikker, Give</v>
      </c>
      <c r="C22" s="47">
        <v>82430</v>
      </c>
      <c r="D22" s="5">
        <v>2327</v>
      </c>
      <c r="E22" s="5">
        <v>1703</v>
      </c>
      <c r="F22" s="5">
        <v>0</v>
      </c>
      <c r="G22" s="5">
        <v>0</v>
      </c>
      <c r="H22" s="5">
        <v>0</v>
      </c>
      <c r="I22" s="5">
        <v>0</v>
      </c>
      <c r="J22" s="9">
        <f t="shared" si="0"/>
        <v>86460</v>
      </c>
      <c r="K22" s="259"/>
      <c r="L22" s="16"/>
      <c r="M22" s="80"/>
      <c r="N22" s="80"/>
    </row>
    <row r="23" spans="1:14" ht="13.5" customHeight="1" x14ac:dyDescent="0.2">
      <c r="A23" s="75">
        <f>+'(skema1-7_2013 - 13pl)'!A23</f>
        <v>6006</v>
      </c>
      <c r="B23" s="7" t="str">
        <f>+'(skema1-7_2013 - 13pl)'!B23</f>
        <v>Hospitalenheden Horsens</v>
      </c>
      <c r="C23" s="47">
        <v>936658</v>
      </c>
      <c r="D23" s="5">
        <v>35455</v>
      </c>
      <c r="E23" s="5">
        <v>20938</v>
      </c>
      <c r="F23" s="5">
        <v>839</v>
      </c>
      <c r="G23" s="5">
        <v>121</v>
      </c>
      <c r="H23" s="5">
        <v>42062</v>
      </c>
      <c r="I23" s="5">
        <v>-22143</v>
      </c>
      <c r="J23" s="9">
        <f t="shared" si="0"/>
        <v>972172</v>
      </c>
      <c r="K23" s="259"/>
      <c r="L23" s="16"/>
      <c r="M23" s="80"/>
      <c r="N23" s="80"/>
    </row>
    <row r="24" spans="1:14" ht="13.5" customHeight="1" x14ac:dyDescent="0.2">
      <c r="A24" s="75">
        <f>+'(skema1-7_2013 - 13pl)'!A24</f>
        <v>6650</v>
      </c>
      <c r="B24" s="7" t="str">
        <f>+'(skema1-7_2013 - 13pl)'!B24</f>
        <v>Hospitalsenheden Vest</v>
      </c>
      <c r="C24" s="47">
        <v>2154208</v>
      </c>
      <c r="D24" s="5">
        <v>80254</v>
      </c>
      <c r="E24" s="5">
        <v>48158</v>
      </c>
      <c r="F24" s="5">
        <v>0</v>
      </c>
      <c r="G24" s="5">
        <v>10620</v>
      </c>
      <c r="H24" s="5">
        <v>136788</v>
      </c>
      <c r="I24" s="5">
        <v>-15763</v>
      </c>
      <c r="J24" s="9">
        <f t="shared" si="0"/>
        <v>2150975</v>
      </c>
      <c r="K24" s="259"/>
      <c r="L24" s="16"/>
      <c r="M24" s="80"/>
      <c r="N24" s="80"/>
    </row>
    <row r="25" spans="1:14" ht="13.5" customHeight="1" x14ac:dyDescent="0.2">
      <c r="A25" s="75">
        <f>+'(skema1-7_2013 - 13pl)'!A25</f>
        <v>6620</v>
      </c>
      <c r="B25" s="7" t="str">
        <f>+'(skema1-7_2013 - 13pl)'!B25</f>
        <v>Aarhus Universitetshospital</v>
      </c>
      <c r="C25" s="47">
        <v>6081167.8720353236</v>
      </c>
      <c r="D25" s="5">
        <v>309158</v>
      </c>
      <c r="E25" s="5">
        <v>152624</v>
      </c>
      <c r="F25" s="5">
        <v>0</v>
      </c>
      <c r="G25" s="5">
        <v>24948</v>
      </c>
      <c r="H25" s="5">
        <v>-430527.09328851977</v>
      </c>
      <c r="I25" s="5">
        <v>51207</v>
      </c>
      <c r="J25" s="9">
        <f t="shared" si="0"/>
        <v>6897321.9653238431</v>
      </c>
      <c r="K25" s="259"/>
      <c r="L25" s="16"/>
      <c r="M25" s="80"/>
      <c r="N25" s="80"/>
    </row>
    <row r="26" spans="1:14" ht="13.5" customHeight="1" x14ac:dyDescent="0.2">
      <c r="A26" s="75">
        <f>+'(skema1-7_2013 - 13pl)'!A26</f>
        <v>7005</v>
      </c>
      <c r="B26" s="7" t="str">
        <f>+'(skema1-7_2013 - 13pl)'!B26</f>
        <v>Regionshospitalet Randers</v>
      </c>
      <c r="C26" s="47">
        <v>1037194</v>
      </c>
      <c r="D26" s="5">
        <v>38645</v>
      </c>
      <c r="E26" s="5">
        <v>23146</v>
      </c>
      <c r="F26" s="5">
        <v>5641</v>
      </c>
      <c r="G26" s="5">
        <v>182</v>
      </c>
      <c r="H26" s="5">
        <v>47645</v>
      </c>
      <c r="I26" s="5">
        <v>-14084</v>
      </c>
      <c r="J26" s="9">
        <f t="shared" si="0"/>
        <v>1059601</v>
      </c>
      <c r="K26" s="259"/>
      <c r="L26" s="16"/>
      <c r="M26" s="80"/>
      <c r="N26" s="80"/>
    </row>
    <row r="27" spans="1:14" ht="13.5" customHeight="1" x14ac:dyDescent="0.2">
      <c r="A27" s="75">
        <f>+'(skema1-7_2013 - 13pl)'!A27</f>
        <v>6630</v>
      </c>
      <c r="B27" s="7" t="str">
        <f>+'(skema1-7_2013 - 13pl)'!B27</f>
        <v>Hospitalsenhed Midt</v>
      </c>
      <c r="C27" s="47">
        <v>2373721</v>
      </c>
      <c r="D27" s="5">
        <v>95059</v>
      </c>
      <c r="E27" s="5">
        <v>57002</v>
      </c>
      <c r="F27" s="5">
        <v>0</v>
      </c>
      <c r="G27" s="5">
        <v>4102</v>
      </c>
      <c r="H27" s="5">
        <v>-25579</v>
      </c>
      <c r="I27" s="5">
        <v>-1806</v>
      </c>
      <c r="J27" s="9">
        <f t="shared" si="0"/>
        <v>2549065</v>
      </c>
      <c r="K27" s="259"/>
      <c r="L27" s="16"/>
      <c r="M27" s="80"/>
      <c r="N27" s="80"/>
    </row>
    <row r="28" spans="1:14" ht="13.5" customHeight="1" x14ac:dyDescent="0.2">
      <c r="A28" s="75">
        <f>+'(skema1-7_2013 - 13pl)'!A28</f>
        <v>7603</v>
      </c>
      <c r="B28" s="7" t="str">
        <f>+'(skema1-7_2013 - 13pl)'!B28</f>
        <v>Sygehus Thy - Mors</v>
      </c>
      <c r="C28" s="47">
        <v>433832</v>
      </c>
      <c r="D28" s="5">
        <v>27620</v>
      </c>
      <c r="E28" s="5">
        <v>11880</v>
      </c>
      <c r="F28" s="5">
        <v>597.50699999999995</v>
      </c>
      <c r="G28" s="5">
        <v>9410</v>
      </c>
      <c r="H28" s="5">
        <v>24409</v>
      </c>
      <c r="I28" s="5">
        <v>23250.831115012079</v>
      </c>
      <c r="J28" s="9">
        <f t="shared" si="0"/>
        <v>415664.6618849879</v>
      </c>
      <c r="K28" s="259"/>
      <c r="L28" s="16"/>
      <c r="M28" s="16"/>
      <c r="N28" s="80"/>
    </row>
    <row r="29" spans="1:14" ht="13.5" customHeight="1" x14ac:dyDescent="0.2">
      <c r="A29" s="75">
        <f>+'(skema1-7_2013 - 13pl)'!A29</f>
        <v>8001</v>
      </c>
      <c r="B29" s="7" t="str">
        <f>+'(skema1-7_2013 - 13pl)'!B29</f>
        <v>Aalborg Universitetshospital</v>
      </c>
      <c r="C29" s="47">
        <v>4322420</v>
      </c>
      <c r="D29" s="5">
        <v>201620</v>
      </c>
      <c r="E29" s="5">
        <v>99026</v>
      </c>
      <c r="F29" s="5">
        <v>2699.7150000000001</v>
      </c>
      <c r="G29" s="5">
        <v>74267</v>
      </c>
      <c r="H29" s="5">
        <v>248028</v>
      </c>
      <c r="I29" s="5">
        <v>-86316.296935359598</v>
      </c>
      <c r="J29" s="9">
        <f t="shared" si="0"/>
        <v>4384387.5819353592</v>
      </c>
      <c r="K29" s="259"/>
      <c r="L29" s="16"/>
      <c r="M29" s="16"/>
      <c r="N29" s="80"/>
    </row>
    <row r="30" spans="1:14" ht="13.5" customHeight="1" x14ac:dyDescent="0.2">
      <c r="A30" s="75">
        <f>+'(skema1-7_2013 - 13pl)'!A30</f>
        <v>8003</v>
      </c>
      <c r="B30" s="7" t="str">
        <f>+'(skema1-7_2013 - 13pl)'!B30</f>
        <v>Sygehus Vendsyssel</v>
      </c>
      <c r="C30" s="47">
        <v>997503</v>
      </c>
      <c r="D30" s="5">
        <v>53388</v>
      </c>
      <c r="E30" s="5">
        <v>29922</v>
      </c>
      <c r="F30" s="5">
        <v>3213.4810000000002</v>
      </c>
      <c r="G30" s="5">
        <v>17557</v>
      </c>
      <c r="H30" s="5">
        <v>59315</v>
      </c>
      <c r="I30" s="5">
        <v>63065.465820347505</v>
      </c>
      <c r="J30" s="9">
        <f t="shared" si="0"/>
        <v>937662.05317965243</v>
      </c>
      <c r="K30" s="259"/>
      <c r="L30" s="16"/>
      <c r="M30" s="16"/>
      <c r="N30" s="80"/>
    </row>
    <row r="31" spans="1:14" ht="13.5" customHeight="1" x14ac:dyDescent="0.2">
      <c r="A31" s="13"/>
      <c r="B31" s="30" t="s">
        <v>20</v>
      </c>
      <c r="C31" s="14">
        <f t="shared" ref="C31:I31" si="1">+SUM(C5:C30)</f>
        <v>56078148.716395319</v>
      </c>
      <c r="D31" s="14">
        <f t="shared" si="1"/>
        <v>2087183.9519779833</v>
      </c>
      <c r="E31" s="14">
        <f t="shared" si="1"/>
        <v>2687615.3290012181</v>
      </c>
      <c r="F31" s="14">
        <f t="shared" si="1"/>
        <v>58661.731</v>
      </c>
      <c r="G31" s="14">
        <f t="shared" si="1"/>
        <v>268561.04825749999</v>
      </c>
      <c r="H31" s="14">
        <f t="shared" si="1"/>
        <v>-1477253.1592324427</v>
      </c>
      <c r="I31" s="14">
        <f t="shared" si="1"/>
        <v>17581.719533451149</v>
      </c>
      <c r="J31" s="14">
        <f>SUM(C31:E31)-SUM(F31:I31)</f>
        <v>61985396.657816008</v>
      </c>
      <c r="K31" s="35"/>
      <c r="L31" s="79"/>
      <c r="M31" s="39"/>
    </row>
    <row r="32" spans="1:14" ht="13.5" customHeight="1" x14ac:dyDescent="0.2">
      <c r="A32" s="37"/>
      <c r="B32" s="15"/>
      <c r="C32" s="16"/>
      <c r="D32" s="16"/>
      <c r="E32" s="16"/>
      <c r="F32" s="16"/>
      <c r="G32" s="16"/>
      <c r="H32" s="16"/>
      <c r="I32" s="16"/>
      <c r="J32" s="16"/>
      <c r="L32" s="79"/>
      <c r="M32" s="39"/>
    </row>
    <row r="33" spans="1:13" ht="13.5" customHeight="1" x14ac:dyDescent="0.2">
      <c r="A33" s="37"/>
      <c r="B33" s="17" t="s">
        <v>34</v>
      </c>
      <c r="C33" s="18">
        <f>SUM(C5:C12)</f>
        <v>17719517.636409998</v>
      </c>
      <c r="D33" s="18">
        <f t="shared" ref="D33:I33" si="2">SUM(D5:D12)</f>
        <v>157431.58897798337</v>
      </c>
      <c r="E33" s="18">
        <f t="shared" si="2"/>
        <v>1644255.9970012184</v>
      </c>
      <c r="F33" s="18">
        <f t="shared" si="2"/>
        <v>0</v>
      </c>
      <c r="G33" s="18">
        <f t="shared" si="2"/>
        <v>66932.483950000009</v>
      </c>
      <c r="H33" s="18">
        <f t="shared" si="2"/>
        <v>-2326412.000137853</v>
      </c>
      <c r="I33" s="18">
        <f t="shared" si="2"/>
        <v>19815.259768642958</v>
      </c>
      <c r="J33" s="6">
        <f>SUM(J5:J12)</f>
        <v>21711789.47880841</v>
      </c>
      <c r="L33" s="79"/>
      <c r="M33" s="39"/>
    </row>
    <row r="34" spans="1:13" ht="13.5" customHeight="1" x14ac:dyDescent="0.2">
      <c r="A34" s="37"/>
      <c r="B34" s="19" t="s">
        <v>35</v>
      </c>
      <c r="C34" s="5">
        <f>SUM(C13:C16)</f>
        <v>6919794.2079499997</v>
      </c>
      <c r="D34" s="5">
        <f t="shared" ref="D34:I34" si="3">SUM(D13:D16)</f>
        <v>718682.3629999999</v>
      </c>
      <c r="E34" s="5">
        <f t="shared" si="3"/>
        <v>329916.33199999999</v>
      </c>
      <c r="F34" s="5">
        <f t="shared" si="3"/>
        <v>7361</v>
      </c>
      <c r="G34" s="5">
        <f t="shared" si="3"/>
        <v>27515.3643075</v>
      </c>
      <c r="H34" s="5">
        <f t="shared" si="3"/>
        <v>240809.70795478363</v>
      </c>
      <c r="I34" s="5">
        <f t="shared" si="3"/>
        <v>355.45976480819809</v>
      </c>
      <c r="J34" s="8">
        <f>SUM(J13:J16)</f>
        <v>7692351.3709229082</v>
      </c>
      <c r="L34" s="79"/>
      <c r="M34" s="39"/>
    </row>
    <row r="35" spans="1:13" ht="13.5" customHeight="1" x14ac:dyDescent="0.2">
      <c r="A35" s="37"/>
      <c r="B35" s="19" t="s">
        <v>36</v>
      </c>
      <c r="C35" s="5">
        <f>SUM(C17:C22)</f>
        <v>13102133</v>
      </c>
      <c r="D35" s="5">
        <f t="shared" ref="D35:I35" si="4">SUM(D17:D22)</f>
        <v>369871</v>
      </c>
      <c r="E35" s="5">
        <f t="shared" si="4"/>
        <v>270747</v>
      </c>
      <c r="F35" s="5">
        <f t="shared" si="4"/>
        <v>38310.027999999998</v>
      </c>
      <c r="G35" s="5">
        <f t="shared" si="4"/>
        <v>32906.199999999997</v>
      </c>
      <c r="H35" s="5">
        <f t="shared" si="4"/>
        <v>506208.22623914655</v>
      </c>
      <c r="I35" s="5">
        <f t="shared" si="4"/>
        <v>0</v>
      </c>
      <c r="J35" s="8">
        <f>SUM(J17:J22)</f>
        <v>13165326.545760855</v>
      </c>
      <c r="L35" s="79"/>
      <c r="M35" s="39"/>
    </row>
    <row r="36" spans="1:13" ht="13.5" customHeight="1" x14ac:dyDescent="0.2">
      <c r="A36" s="37"/>
      <c r="B36" s="19" t="s">
        <v>37</v>
      </c>
      <c r="C36" s="5">
        <f>SUM(C23:C27)</f>
        <v>12582948.872035325</v>
      </c>
      <c r="D36" s="5">
        <f t="shared" ref="D36:I36" si="5">SUM(D23:D27)</f>
        <v>558571</v>
      </c>
      <c r="E36" s="5">
        <f t="shared" si="5"/>
        <v>301868</v>
      </c>
      <c r="F36" s="5">
        <f t="shared" si="5"/>
        <v>6480</v>
      </c>
      <c r="G36" s="5">
        <f t="shared" si="5"/>
        <v>39973</v>
      </c>
      <c r="H36" s="5">
        <f t="shared" si="5"/>
        <v>-229611.09328851977</v>
      </c>
      <c r="I36" s="5">
        <f t="shared" si="5"/>
        <v>-2589</v>
      </c>
      <c r="J36" s="8">
        <f>SUM(J23:J27)</f>
        <v>13629134.965323843</v>
      </c>
      <c r="L36" s="79"/>
      <c r="M36" s="39"/>
    </row>
    <row r="37" spans="1:13" ht="13.5" customHeight="1" x14ac:dyDescent="0.2">
      <c r="A37" s="38"/>
      <c r="B37" s="20" t="s">
        <v>38</v>
      </c>
      <c r="C37" s="10">
        <f>+SUM(C28:C30)</f>
        <v>5753755</v>
      </c>
      <c r="D37" s="10">
        <f t="shared" ref="D37:I37" si="6">+SUM(D28:D30)</f>
        <v>282628</v>
      </c>
      <c r="E37" s="10">
        <f t="shared" si="6"/>
        <v>140828</v>
      </c>
      <c r="F37" s="10">
        <f t="shared" si="6"/>
        <v>6510.7030000000004</v>
      </c>
      <c r="G37" s="10">
        <f t="shared" si="6"/>
        <v>101234</v>
      </c>
      <c r="H37" s="10">
        <f t="shared" si="6"/>
        <v>331752</v>
      </c>
      <c r="I37" s="10">
        <f t="shared" si="6"/>
        <v>0</v>
      </c>
      <c r="J37" s="21">
        <f>+SUM(J28:J30)</f>
        <v>5737714.2969999993</v>
      </c>
      <c r="L37" s="79"/>
      <c r="M37" s="39"/>
    </row>
    <row r="38" spans="1:13" ht="13.5" customHeight="1" x14ac:dyDescent="0.2">
      <c r="A38" s="38"/>
      <c r="B38" s="13" t="s">
        <v>20</v>
      </c>
      <c r="C38" s="18">
        <f>+SUM(C33:C37)</f>
        <v>56078148.716395319</v>
      </c>
      <c r="D38" s="22">
        <f t="shared" ref="D38:I38" si="7">+SUM(D33:D37)</f>
        <v>2087183.9519779831</v>
      </c>
      <c r="E38" s="22">
        <f t="shared" si="7"/>
        <v>2687615.3290012181</v>
      </c>
      <c r="F38" s="22">
        <f t="shared" si="7"/>
        <v>58661.731</v>
      </c>
      <c r="G38" s="22">
        <f t="shared" si="7"/>
        <v>268561.04825749999</v>
      </c>
      <c r="H38" s="22">
        <f t="shared" si="7"/>
        <v>-1477253.1592324427</v>
      </c>
      <c r="I38" s="22">
        <f t="shared" si="7"/>
        <v>17581.719533451156</v>
      </c>
      <c r="J38" s="23">
        <f>+SUM(J33:J37)</f>
        <v>61936316.657816015</v>
      </c>
      <c r="L38" s="79"/>
      <c r="M38" s="39"/>
    </row>
    <row r="39" spans="1:13" ht="13.5" customHeight="1" x14ac:dyDescent="0.2">
      <c r="C39" s="25"/>
      <c r="L39" s="79"/>
      <c r="M39" s="39"/>
    </row>
    <row r="40" spans="1:13" ht="13.5" customHeight="1" x14ac:dyDescent="0.2">
      <c r="C40" s="24"/>
      <c r="D40" s="24"/>
      <c r="E40" s="24"/>
      <c r="F40" s="24"/>
      <c r="G40" s="24"/>
      <c r="H40" s="24"/>
      <c r="I40" s="24"/>
      <c r="J40" s="24"/>
      <c r="L40" s="79"/>
      <c r="M40" s="39"/>
    </row>
    <row r="41" spans="1:13" ht="13.5" customHeight="1" x14ac:dyDescent="0.2">
      <c r="L41" s="79"/>
      <c r="M41" s="39"/>
    </row>
    <row r="42" spans="1:13" ht="13.5" customHeight="1" x14ac:dyDescent="0.2">
      <c r="C42" s="36"/>
      <c r="D42" s="36"/>
      <c r="E42" s="36"/>
      <c r="F42" s="36"/>
      <c r="G42" s="36"/>
      <c r="H42" s="36"/>
      <c r="I42" s="36"/>
      <c r="J42" s="36"/>
      <c r="L42" s="79"/>
      <c r="M42" s="39"/>
    </row>
    <row r="43" spans="1:13" ht="13.5" customHeight="1" x14ac:dyDescent="0.2">
      <c r="L43" s="79"/>
      <c r="M43" s="39"/>
    </row>
    <row r="44" spans="1:13" ht="13.5" customHeight="1" x14ac:dyDescent="0.2">
      <c r="L44" s="79"/>
      <c r="M44" s="39"/>
    </row>
    <row r="45" spans="1:13" ht="13.5" customHeight="1" x14ac:dyDescent="0.2">
      <c r="L45" s="79"/>
      <c r="M45" s="39"/>
    </row>
    <row r="46" spans="1:13" ht="13.5" customHeight="1" x14ac:dyDescent="0.2">
      <c r="L46" s="79"/>
      <c r="M46" s="39"/>
    </row>
    <row r="47" spans="1:13" x14ac:dyDescent="0.2">
      <c r="L47" s="79"/>
      <c r="M47" s="39"/>
    </row>
  </sheetData>
  <pageMargins left="0.51181102362204722" right="0.43307086614173229" top="0.51181102362204722" bottom="0.19685039370078741" header="0.23622047244094491" footer="0.23622047244094491"/>
  <pageSetup paperSize="9" scale="78" orientation="landscape" cellComments="asDisplayed" horizontalDpi="300" verticalDpi="300" r:id="rId1"/>
  <headerFooter alignWithMargins="0">
    <oddHeader>&amp;CSide &amp;P / &amp;N</oddHeader>
  </headerFooter>
  <ignoredErrors>
    <ignoredError sqref="C33:J3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zoomScaleNormal="100" workbookViewId="0"/>
  </sheetViews>
  <sheetFormatPr defaultColWidth="9.140625" defaultRowHeight="12" x14ac:dyDescent="0.2"/>
  <cols>
    <col min="1" max="1" width="8.5703125" style="24" customWidth="1"/>
    <col min="2" max="2" width="39.28515625" style="24" customWidth="1"/>
    <col min="3" max="8" width="10" style="26" customWidth="1"/>
    <col min="9" max="9" width="18.85546875" style="26" bestFit="1" customWidth="1"/>
    <col min="10" max="10" width="19.28515625" style="26" customWidth="1"/>
    <col min="11" max="11" width="9.140625" style="24"/>
    <col min="12" max="12" width="8" style="24" customWidth="1"/>
    <col min="13" max="13" width="9.140625" style="24"/>
    <col min="14" max="14" width="8.5703125" style="24" customWidth="1"/>
    <col min="15" max="16384" width="9.140625" style="24"/>
  </cols>
  <sheetData>
    <row r="1" spans="1:18" ht="15.75" x14ac:dyDescent="0.25">
      <c r="A1" s="72"/>
      <c r="N1" s="39"/>
      <c r="O1" s="39"/>
      <c r="P1" s="39"/>
      <c r="Q1" s="39"/>
      <c r="R1" s="39"/>
    </row>
    <row r="2" spans="1:18" ht="13.5" customHeight="1" x14ac:dyDescent="0.2">
      <c r="A2" s="31" t="s">
        <v>144</v>
      </c>
      <c r="E2" s="27"/>
      <c r="F2" s="27"/>
      <c r="G2" s="27"/>
      <c r="H2" s="28"/>
      <c r="I2" s="32"/>
      <c r="J2" s="28"/>
      <c r="N2" s="39"/>
      <c r="O2" s="39"/>
      <c r="P2" s="39"/>
      <c r="Q2" s="39"/>
      <c r="R2" s="39"/>
    </row>
    <row r="3" spans="1:18" ht="13.5" customHeight="1" x14ac:dyDescent="0.2">
      <c r="A3" s="33" t="s">
        <v>50</v>
      </c>
      <c r="E3" s="27"/>
      <c r="F3" s="27"/>
      <c r="G3" s="27"/>
      <c r="H3" s="28"/>
      <c r="I3" s="27"/>
      <c r="J3" s="28"/>
      <c r="N3" s="39"/>
      <c r="O3" s="39"/>
      <c r="P3" s="39"/>
      <c r="Q3" s="39"/>
      <c r="R3" s="39"/>
    </row>
    <row r="4" spans="1:18" ht="54" customHeight="1" x14ac:dyDescent="0.2">
      <c r="A4" s="73" t="s">
        <v>12</v>
      </c>
      <c r="B4" s="73" t="s">
        <v>0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21</v>
      </c>
      <c r="N4" s="39"/>
      <c r="O4" s="39"/>
      <c r="P4" s="39"/>
      <c r="Q4" s="39"/>
      <c r="R4" s="39"/>
    </row>
    <row r="5" spans="1:18" ht="13.5" customHeight="1" x14ac:dyDescent="0.2">
      <c r="A5" s="74">
        <f>+'(skema1-7_2013 - 13pl)'!A5</f>
        <v>1301</v>
      </c>
      <c r="B5" s="4" t="str">
        <f>+'(skema1-7_2013 - 13pl)'!B5</f>
        <v>Rigshospitalet</v>
      </c>
      <c r="C5" s="91">
        <f>IF((ROUND('Skema1-7_2013'!C5,0))=0,"-",((('Skema1-7_2014'!C5-'Skema1-7_2013'!C5)/'Skema1-7_2013'!C5))*100)</f>
        <v>5.3658511143330916</v>
      </c>
      <c r="D5" s="91">
        <f>IF((ROUND('Skema1-7_2013'!D5,0))=0,"-",((('Skema1-7_2014'!D5-'Skema1-7_2013'!D5)/'Skema1-7_2013'!D5))*100)</f>
        <v>-49.998782174864395</v>
      </c>
      <c r="E5" s="91">
        <f>IF((ROUND('Skema1-7_2013'!E5,0))=0,"-",((('Skema1-7_2014'!E5-'Skema1-7_2013'!E5)/'Skema1-7_2013'!E5))*100)</f>
        <v>38.799619496080915</v>
      </c>
      <c r="F5" s="91" t="str">
        <f>IF((ROUND('Skema1-7_2013'!F5,0))=0,"-",((('Skema1-7_2014'!F5-'Skema1-7_2013'!F5)/'Skema1-7_2013'!F5))*100)</f>
        <v>-</v>
      </c>
      <c r="G5" s="91">
        <f>IF((ROUND('Skema1-7_2013'!G5,0))=0,"-",((('Skema1-7_2014'!G5-'Skema1-7_2013'!G5)/'Skema1-7_2013'!G5))*100)</f>
        <v>7.6333523643828176</v>
      </c>
      <c r="H5" s="91">
        <f>IF((ROUND('Skema1-7_2013'!H5,0))=0,"-",((('Skema1-7_2014'!H5-'Skema1-7_2013'!H5)/'Skema1-7_2013'!H5))*100)</f>
        <v>-3.5018823611757517</v>
      </c>
      <c r="I5" s="91">
        <f>IF((ROUND('Skema1-7_2013'!I5,0))=0,"-",((('Skema1-7_2014'!I5-'Skema1-7_2013'!I5)/'Skema1-7_2013'!I5))*100)</f>
        <v>15.517105181020058</v>
      </c>
      <c r="J5" s="91">
        <f>IF((ROUND('Skema1-7_2013'!J5,0))=0,"-",((('Skema1-7_2014'!J5-'Skema1-7_2013'!J5)/'Skema1-7_2013'!J5))*100)</f>
        <v>3.8073400548140048</v>
      </c>
      <c r="N5" s="39"/>
      <c r="O5" s="39"/>
      <c r="P5" s="39"/>
      <c r="Q5" s="39"/>
      <c r="R5" s="39"/>
    </row>
    <row r="6" spans="1:18" ht="13.5" customHeight="1" x14ac:dyDescent="0.2">
      <c r="A6" s="75">
        <f>+'(skema1-7_2013 - 13pl)'!A6</f>
        <v>1309</v>
      </c>
      <c r="B6" s="7" t="str">
        <f>+'(skema1-7_2013 - 13pl)'!B6</f>
        <v>Bispebjerg og Frederiksberg Hospital</v>
      </c>
      <c r="C6" s="91">
        <f>IF((ROUND('Skema1-7_2013'!C6,0))=0,"-",((('Skema1-7_2014'!C6-'Skema1-7_2013'!C6)/'Skema1-7_2013'!C6))*100)</f>
        <v>4.0926146738390035</v>
      </c>
      <c r="D6" s="91">
        <f>IF((ROUND('Skema1-7_2013'!D6,0))=0,"-",((('Skema1-7_2014'!D6-'Skema1-7_2013'!D6)/'Skema1-7_2013'!D6))*100)</f>
        <v>-43.282856476937404</v>
      </c>
      <c r="E6" s="91">
        <f>IF((ROUND('Skema1-7_2013'!E6,0))=0,"-",((('Skema1-7_2014'!E6-'Skema1-7_2013'!E6)/'Skema1-7_2013'!E6))*100)</f>
        <v>2.7180984423926207</v>
      </c>
      <c r="F6" s="91" t="str">
        <f>IF((ROUND('Skema1-7_2013'!F6,0))=0,"-",((('Skema1-7_2014'!F6-'Skema1-7_2013'!F6)/'Skema1-7_2013'!F6))*100)</f>
        <v>-</v>
      </c>
      <c r="G6" s="91">
        <f>IF((ROUND('Skema1-7_2013'!G6,0))=0,"-",((('Skema1-7_2014'!G6-'Skema1-7_2013'!G6)/'Skema1-7_2013'!G6))*100)</f>
        <v>3527.6899249909056</v>
      </c>
      <c r="H6" s="91">
        <f>IF((ROUND('Skema1-7_2013'!H6,0))=0,"-",((('Skema1-7_2014'!H6-'Skema1-7_2013'!H6)/'Skema1-7_2013'!H6))*100)</f>
        <v>20.267806329706914</v>
      </c>
      <c r="I6" s="91">
        <f>IF((ROUND('Skema1-7_2013'!I6,0))=0,"-",((('Skema1-7_2014'!I6-'Skema1-7_2013'!I6)/'Skema1-7_2013'!I6))*100)</f>
        <v>-47.607116359446103</v>
      </c>
      <c r="J6" s="91">
        <f>IF((ROUND('Skema1-7_2013'!J6,0))=0,"-",((('Skema1-7_2014'!J6-'Skema1-7_2013'!J6)/'Skema1-7_2013'!J6))*100)</f>
        <v>2.9525807911576338</v>
      </c>
      <c r="N6" s="39"/>
      <c r="O6" s="39"/>
      <c r="P6" s="39"/>
      <c r="Q6" s="39"/>
      <c r="R6" s="39"/>
    </row>
    <row r="7" spans="1:18" ht="13.5" customHeight="1" x14ac:dyDescent="0.2">
      <c r="A7" s="75">
        <f>+'(skema1-7_2013 - 13pl)'!A7</f>
        <v>1330</v>
      </c>
      <c r="B7" s="7" t="str">
        <f>+'(skema1-7_2013 - 13pl)'!B7</f>
        <v>Amager og Hvidovre Hospital</v>
      </c>
      <c r="C7" s="91">
        <f>IF((ROUND('Skema1-7_2013'!C7,0))=0,"-",((('Skema1-7_2014'!C7-'Skema1-7_2013'!C7)/'Skema1-7_2013'!C7))*100)</f>
        <v>-0.23867413634138632</v>
      </c>
      <c r="D7" s="91">
        <f>IF((ROUND('Skema1-7_2013'!D7,0))=0,"-",((('Skema1-7_2014'!D7-'Skema1-7_2013'!D7)/'Skema1-7_2013'!D7))*100)</f>
        <v>-48.666179615825925</v>
      </c>
      <c r="E7" s="91">
        <f>IF((ROUND('Skema1-7_2013'!E7,0))=0,"-",((('Skema1-7_2014'!E7-'Skema1-7_2013'!E7)/'Skema1-7_2013'!E7))*100)</f>
        <v>0.11003991469575916</v>
      </c>
      <c r="F7" s="91" t="str">
        <f>IF((ROUND('Skema1-7_2013'!F7,0))=0,"-",((('Skema1-7_2014'!F7-'Skema1-7_2013'!F7)/'Skema1-7_2013'!F7))*100)</f>
        <v>-</v>
      </c>
      <c r="G7" s="91">
        <f>IF((ROUND('Skema1-7_2013'!G7,0))=0,"-",((('Skema1-7_2014'!G7-'Skema1-7_2013'!G7)/'Skema1-7_2013'!G7))*100)</f>
        <v>291.18086733428453</v>
      </c>
      <c r="H7" s="91">
        <f>IF((ROUND('Skema1-7_2013'!H7,0))=0,"-",((('Skema1-7_2014'!H7-'Skema1-7_2013'!H7)/'Skema1-7_2013'!H7))*100)</f>
        <v>15.655774904952393</v>
      </c>
      <c r="I7" s="91">
        <f>IF((ROUND('Skema1-7_2013'!I7,0))=0,"-",((('Skema1-7_2014'!I7-'Skema1-7_2013'!I7)/'Skema1-7_2013'!I7))*100)</f>
        <v>-79.146882131086755</v>
      </c>
      <c r="J7" s="91">
        <f>IF((ROUND('Skema1-7_2013'!J7,0))=0,"-",((('Skema1-7_2014'!J7-'Skema1-7_2013'!J7)/'Skema1-7_2013'!J7))*100)</f>
        <v>0.31004417212642199</v>
      </c>
      <c r="N7" s="39"/>
      <c r="O7" s="39"/>
      <c r="P7" s="39"/>
      <c r="Q7" s="39"/>
      <c r="R7" s="39"/>
    </row>
    <row r="8" spans="1:18" ht="13.5" customHeight="1" x14ac:dyDescent="0.2">
      <c r="A8" s="75">
        <f>+'(skema1-7_2013 - 13pl)'!A8</f>
        <v>1501</v>
      </c>
      <c r="B8" s="7" t="str">
        <f>+'(skema1-7_2013 - 13pl)'!B8</f>
        <v>Gentofte Hospital</v>
      </c>
      <c r="C8" s="91">
        <f>IF((ROUND('Skema1-7_2013'!C8,0))=0,"-",((('Skema1-7_2014'!C8-'Skema1-7_2013'!C8)/'Skema1-7_2013'!C8))*100)</f>
        <v>3.9670074795195838</v>
      </c>
      <c r="D8" s="91">
        <f>IF((ROUND('Skema1-7_2013'!D8,0))=0,"-",((('Skema1-7_2014'!D8-'Skema1-7_2013'!D8)/'Skema1-7_2013'!D8))*100)</f>
        <v>-48.410469088495454</v>
      </c>
      <c r="E8" s="91">
        <f>IF((ROUND('Skema1-7_2013'!E8,0))=0,"-",((('Skema1-7_2014'!E8-'Skema1-7_2013'!E8)/'Skema1-7_2013'!E8))*100)</f>
        <v>2.9878229600643347</v>
      </c>
      <c r="F8" s="91" t="str">
        <f>IF((ROUND('Skema1-7_2013'!F8,0))=0,"-",((('Skema1-7_2014'!F8-'Skema1-7_2013'!F8)/'Skema1-7_2013'!F8))*100)</f>
        <v>-</v>
      </c>
      <c r="G8" s="91" t="str">
        <f>IF((ROUND('Skema1-7_2013'!G8,0))=0,"-",((('Skema1-7_2014'!G8-'Skema1-7_2013'!G8)/'Skema1-7_2013'!G8))*100)</f>
        <v>-</v>
      </c>
      <c r="H8" s="91">
        <f>IF((ROUND('Skema1-7_2013'!H8,0))=0,"-",((('Skema1-7_2014'!H8-'Skema1-7_2013'!H8)/'Skema1-7_2013'!H8))*100)</f>
        <v>-9.0757272860941907</v>
      </c>
      <c r="I8" s="91">
        <f>IF((ROUND('Skema1-7_2013'!I8,0))=0,"-",((('Skema1-7_2014'!I8-'Skema1-7_2013'!I8)/'Skema1-7_2013'!I8))*100)</f>
        <v>7.5859142031346982</v>
      </c>
      <c r="J8" s="91">
        <f>IF((ROUND('Skema1-7_2013'!J8,0))=0,"-",((('Skema1-7_2014'!J8-'Skema1-7_2013'!J8)/'Skema1-7_2013'!J8))*100)</f>
        <v>2.4407397197040268</v>
      </c>
      <c r="N8" s="39"/>
      <c r="O8" s="39"/>
      <c r="P8" s="39"/>
      <c r="Q8" s="39"/>
      <c r="R8" s="39"/>
    </row>
    <row r="9" spans="1:18" ht="13.5" customHeight="1" x14ac:dyDescent="0.2">
      <c r="A9" s="75">
        <f>+'(skema1-7_2013 - 13pl)'!A9</f>
        <v>1502</v>
      </c>
      <c r="B9" s="7" t="str">
        <f>+'(skema1-7_2013 - 13pl)'!B9</f>
        <v>Glostrup Hospital</v>
      </c>
      <c r="C9" s="91">
        <f>IF((ROUND('Skema1-7_2013'!C9,0))=0,"-",((('Skema1-7_2014'!C9-'Skema1-7_2013'!C9)/'Skema1-7_2013'!C9))*100)</f>
        <v>3.3259674404289896</v>
      </c>
      <c r="D9" s="91">
        <f>IF((ROUND('Skema1-7_2013'!D9,0))=0,"-",((('Skema1-7_2014'!D9-'Skema1-7_2013'!D9)/'Skema1-7_2013'!D9))*100)</f>
        <v>-54.575245896277778</v>
      </c>
      <c r="E9" s="91">
        <f>IF((ROUND('Skema1-7_2013'!E9,0))=0,"-",((('Skema1-7_2014'!E9-'Skema1-7_2013'!E9)/'Skema1-7_2013'!E9))*100)</f>
        <v>6.6697615710080109</v>
      </c>
      <c r="F9" s="91" t="str">
        <f>IF((ROUND('Skema1-7_2013'!F9,0))=0,"-",((('Skema1-7_2014'!F9-'Skema1-7_2013'!F9)/'Skema1-7_2013'!F9))*100)</f>
        <v>-</v>
      </c>
      <c r="G9" s="91" t="str">
        <f>IF((ROUND('Skema1-7_2013'!G9,0))=0,"-",((('Skema1-7_2014'!G9-'Skema1-7_2013'!G9)/'Skema1-7_2013'!G9))*100)</f>
        <v>-</v>
      </c>
      <c r="H9" s="91">
        <f>IF((ROUND('Skema1-7_2013'!H9,0))=0,"-",((('Skema1-7_2014'!H9-'Skema1-7_2013'!H9)/'Skema1-7_2013'!H9))*100)</f>
        <v>16.597225111774332</v>
      </c>
      <c r="I9" s="91">
        <f>IF((ROUND('Skema1-7_2013'!I9,0))=0,"-",((('Skema1-7_2014'!I9-'Skema1-7_2013'!I9)/'Skema1-7_2013'!I9))*100)</f>
        <v>-35.259428088258154</v>
      </c>
      <c r="J9" s="91">
        <f>IF((ROUND('Skema1-7_2013'!J9,0))=0,"-",((('Skema1-7_2014'!J9-'Skema1-7_2013'!J9)/'Skema1-7_2013'!J9))*100)</f>
        <v>3.1724818606442593</v>
      </c>
      <c r="N9" s="39"/>
      <c r="O9" s="39"/>
      <c r="P9" s="39"/>
      <c r="Q9" s="39"/>
      <c r="R9" s="39"/>
    </row>
    <row r="10" spans="1:18" ht="13.5" customHeight="1" x14ac:dyDescent="0.2">
      <c r="A10" s="75">
        <f>+'(skema1-7_2013 - 13pl)'!A10</f>
        <v>1516</v>
      </c>
      <c r="B10" s="7" t="str">
        <f>+'(skema1-7_2013 - 13pl)'!B10</f>
        <v>Herlev Hospital</v>
      </c>
      <c r="C10" s="91">
        <f>IF((ROUND('Skema1-7_2013'!C10,0))=0,"-",((('Skema1-7_2014'!C10-'Skema1-7_2013'!C10)/'Skema1-7_2013'!C10))*100)</f>
        <v>4.5590836098191616</v>
      </c>
      <c r="D10" s="91">
        <f>IF((ROUND('Skema1-7_2013'!D10,0))=0,"-",((('Skema1-7_2014'!D10-'Skema1-7_2013'!D10)/'Skema1-7_2013'!D10))*100)</f>
        <v>-51.523157456306343</v>
      </c>
      <c r="E10" s="91">
        <f>IF((ROUND('Skema1-7_2013'!E10,0))=0,"-",((('Skema1-7_2014'!E10-'Skema1-7_2013'!E10)/'Skema1-7_2013'!E10))*100)</f>
        <v>5.3091446627224776</v>
      </c>
      <c r="F10" s="91" t="str">
        <f>IF((ROUND('Skema1-7_2013'!F10,0))=0,"-",((('Skema1-7_2014'!F10-'Skema1-7_2013'!F10)/'Skema1-7_2013'!F10))*100)</f>
        <v>-</v>
      </c>
      <c r="G10" s="91">
        <f>IF((ROUND('Skema1-7_2013'!G10,0))=0,"-",((('Skema1-7_2014'!G10-'Skema1-7_2013'!G10)/'Skema1-7_2013'!G10))*100)</f>
        <v>6.890460658671552</v>
      </c>
      <c r="H10" s="91">
        <f>IF((ROUND('Skema1-7_2013'!H10,0))=0,"-",((('Skema1-7_2014'!H10-'Skema1-7_2013'!H10)/'Skema1-7_2013'!H10))*100)</f>
        <v>27.499592536064</v>
      </c>
      <c r="I10" s="91">
        <f>IF((ROUND('Skema1-7_2013'!I10,0))=0,"-",((('Skema1-7_2014'!I10-'Skema1-7_2013'!I10)/'Skema1-7_2013'!I10))*100)</f>
        <v>46.286631663442556</v>
      </c>
      <c r="J10" s="91">
        <f>IF((ROUND('Skema1-7_2013'!J10,0))=0,"-",((('Skema1-7_2014'!J10-'Skema1-7_2013'!J10)/'Skema1-7_2013'!J10))*100)</f>
        <v>3.7772247066607818</v>
      </c>
      <c r="N10" s="39"/>
      <c r="O10" s="39"/>
      <c r="P10" s="39"/>
      <c r="Q10" s="39"/>
      <c r="R10" s="39"/>
    </row>
    <row r="11" spans="1:18" ht="13.5" customHeight="1" x14ac:dyDescent="0.2">
      <c r="A11" s="75">
        <f>+'(skema1-7_2013 - 13pl)'!A11</f>
        <v>2000</v>
      </c>
      <c r="B11" s="7" t="str">
        <f>+'(skema1-7_2013 - 13pl)'!B11</f>
        <v>Nordsjællands Hospital</v>
      </c>
      <c r="C11" s="91">
        <f>IF((ROUND('Skema1-7_2013'!C11,0))=0,"-",((('Skema1-7_2014'!C11-'Skema1-7_2013'!C11)/'Skema1-7_2013'!C11))*100)</f>
        <v>-0.7177375635404406</v>
      </c>
      <c r="D11" s="91">
        <f>IF((ROUND('Skema1-7_2013'!D11,0))=0,"-",((('Skema1-7_2014'!D11-'Skema1-7_2013'!D11)/'Skema1-7_2013'!D11))*100)</f>
        <v>-54.031552869102129</v>
      </c>
      <c r="E11" s="91">
        <f>IF((ROUND('Skema1-7_2013'!E11,0))=0,"-",((('Skema1-7_2014'!E11-'Skema1-7_2013'!E11)/'Skema1-7_2013'!E11))*100)</f>
        <v>-5.4636454271210111</v>
      </c>
      <c r="F11" s="91" t="str">
        <f>IF((ROUND('Skema1-7_2013'!F11,0))=0,"-",((('Skema1-7_2014'!F11-'Skema1-7_2013'!F11)/'Skema1-7_2013'!F11))*100)</f>
        <v>-</v>
      </c>
      <c r="G11" s="91">
        <f>IF((ROUND('Skema1-7_2013'!G11,0))=0,"-",((('Skema1-7_2014'!G11-'Skema1-7_2013'!G11)/'Skema1-7_2013'!G11))*100)</f>
        <v>-9.2056126684765247E-2</v>
      </c>
      <c r="H11" s="91">
        <f>IF((ROUND('Skema1-7_2013'!H11,0))=0,"-",((('Skema1-7_2014'!H11-'Skema1-7_2013'!H11)/'Skema1-7_2013'!H11))*100)</f>
        <v>0.17162831133369535</v>
      </c>
      <c r="I11" s="91">
        <f>IF((ROUND('Skema1-7_2013'!I11,0))=0,"-",((('Skema1-7_2014'!I11-'Skema1-7_2013'!I11)/'Skema1-7_2013'!I11))*100)</f>
        <v>195.60689781417722</v>
      </c>
      <c r="J11" s="91">
        <f>IF((ROUND('Skema1-7_2013'!J11,0))=0,"-",((('Skema1-7_2014'!J11-'Skema1-7_2013'!J11)/'Skema1-7_2013'!J11))*100)</f>
        <v>-1.4617567912035012</v>
      </c>
      <c r="N11" s="39"/>
      <c r="O11" s="39"/>
      <c r="P11" s="39"/>
      <c r="Q11" s="39"/>
      <c r="R11" s="39"/>
    </row>
    <row r="12" spans="1:18" ht="13.5" customHeight="1" x14ac:dyDescent="0.2">
      <c r="A12" s="75">
        <f>+'(skema1-7_2013 - 13pl)'!A12</f>
        <v>4001</v>
      </c>
      <c r="B12" s="7" t="str">
        <f>+'(skema1-7_2013 - 13pl)'!B12</f>
        <v>Bornholms Hospital</v>
      </c>
      <c r="C12" s="91">
        <f>IF((ROUND('Skema1-7_2013'!C12,0))=0,"-",((('Skema1-7_2014'!C12-'Skema1-7_2013'!C12)/'Skema1-7_2013'!C12))*100)</f>
        <v>1.3796935849382623</v>
      </c>
      <c r="D12" s="91">
        <f>IF((ROUND('Skema1-7_2013'!D12,0))=0,"-",((('Skema1-7_2014'!D12-'Skema1-7_2013'!D12)/'Skema1-7_2013'!D12))*100)</f>
        <v>-50.284840836375807</v>
      </c>
      <c r="E12" s="91">
        <f>IF((ROUND('Skema1-7_2013'!E12,0))=0,"-",((('Skema1-7_2014'!E12-'Skema1-7_2013'!E12)/'Skema1-7_2013'!E12))*100)</f>
        <v>-4.2399778337705714</v>
      </c>
      <c r="F12" s="91" t="str">
        <f>IF((ROUND('Skema1-7_2013'!F12,0))=0,"-",((('Skema1-7_2014'!F12-'Skema1-7_2013'!F12)/'Skema1-7_2013'!F12))*100)</f>
        <v>-</v>
      </c>
      <c r="G12" s="91" t="str">
        <f>IF((ROUND('Skema1-7_2013'!G12,0))=0,"-",((('Skema1-7_2014'!G12-'Skema1-7_2013'!G12)/'Skema1-7_2013'!G12))*100)</f>
        <v>-</v>
      </c>
      <c r="H12" s="91">
        <f>IF((ROUND('Skema1-7_2013'!H12,0))=0,"-",((('Skema1-7_2014'!H12-'Skema1-7_2013'!H12)/'Skema1-7_2013'!H12))*100)</f>
        <v>2.3638802739564739</v>
      </c>
      <c r="I12" s="91">
        <f>IF((ROUND('Skema1-7_2013'!I12,0))=0,"-",((('Skema1-7_2014'!I12-'Skema1-7_2013'!I12)/'Skema1-7_2013'!I12))*100)</f>
        <v>597.23691108260971</v>
      </c>
      <c r="J12" s="91">
        <f>IF((ROUND('Skema1-7_2013'!J12,0))=0,"-",((('Skema1-7_2014'!J12-'Skema1-7_2013'!J12)/'Skema1-7_2013'!J12))*100)</f>
        <v>-1.5530107855857416</v>
      </c>
      <c r="N12" s="39"/>
      <c r="O12" s="39"/>
      <c r="P12" s="39"/>
      <c r="Q12" s="39"/>
      <c r="R12" s="39"/>
    </row>
    <row r="13" spans="1:18" ht="13.5" customHeight="1" x14ac:dyDescent="0.2">
      <c r="A13" s="75">
        <f>+'(skema1-7_2013 - 13pl)'!A13</f>
        <v>3810</v>
      </c>
      <c r="B13" s="7" t="str">
        <f>+'(skema1-7_2013 - 13pl)'!B13</f>
        <v>Roskilde og Køge sygehuse</v>
      </c>
      <c r="C13" s="91">
        <f>IF((ROUND('Skema1-7_2013'!C13,0))=0,"-",((('Skema1-7_2014'!C13-'Skema1-7_2013'!C13)/'Skema1-7_2013'!C13))*100)</f>
        <v>10.058979164162562</v>
      </c>
      <c r="D13" s="91">
        <f>IF((ROUND('Skema1-7_2013'!D13,0))=0,"-",((('Skema1-7_2014'!D13-'Skema1-7_2013'!D13)/'Skema1-7_2013'!D13))*100)</f>
        <v>4.4752903194097149</v>
      </c>
      <c r="E13" s="91">
        <f>IF((ROUND('Skema1-7_2013'!E13,0))=0,"-",((('Skema1-7_2014'!E13-'Skema1-7_2013'!E13)/'Skema1-7_2013'!E13))*100)</f>
        <v>15.726225557557294</v>
      </c>
      <c r="F13" s="91" t="str">
        <f>IF((ROUND('Skema1-7_2013'!F13,0))=0,"-",((('Skema1-7_2014'!F13-'Skema1-7_2013'!F13)/'Skema1-7_2013'!F13))*100)</f>
        <v>-</v>
      </c>
      <c r="G13" s="91">
        <f>IF((ROUND('Skema1-7_2013'!G13,0))=0,"-",((('Skema1-7_2014'!G13-'Skema1-7_2013'!G13)/'Skema1-7_2013'!G13))*100)</f>
        <v>16.64519412178576</v>
      </c>
      <c r="H13" s="91">
        <f>IF((ROUND('Skema1-7_2013'!H13,0))=0,"-",((('Skema1-7_2014'!H13-'Skema1-7_2013'!H13)/'Skema1-7_2013'!H13))*100)</f>
        <v>45.900878799926758</v>
      </c>
      <c r="I13" s="91">
        <f>IF((ROUND('Skema1-7_2013'!I13,0))=0,"-",((('Skema1-7_2014'!I13-'Skema1-7_2013'!I13)/'Skema1-7_2013'!I13))*100)</f>
        <v>145.21212121459055</v>
      </c>
      <c r="J13" s="91">
        <f>IF((ROUND('Skema1-7_2013'!J13,0))=0,"-",((('Skema1-7_2014'!J13-'Skema1-7_2013'!J13)/'Skema1-7_2013'!J13))*100)</f>
        <v>8.6021508961795732</v>
      </c>
      <c r="N13" s="39"/>
      <c r="O13" s="39"/>
      <c r="P13" s="39"/>
      <c r="Q13" s="39"/>
      <c r="R13" s="39"/>
    </row>
    <row r="14" spans="1:18" ht="13.5" customHeight="1" x14ac:dyDescent="0.2">
      <c r="A14" s="75">
        <f>+'(skema1-7_2013 - 13pl)'!A14</f>
        <v>3820</v>
      </c>
      <c r="B14" s="7" t="str">
        <f>+'(skema1-7_2013 - 13pl)'!B14</f>
        <v>Holbæk Sygehus</v>
      </c>
      <c r="C14" s="91">
        <f>IF((ROUND('Skema1-7_2013'!C14,0))=0,"-",((('Skema1-7_2014'!C14-'Skema1-7_2013'!C14)/'Skema1-7_2013'!C14))*100)</f>
        <v>1.4766560901741199</v>
      </c>
      <c r="D14" s="91">
        <f>IF((ROUND('Skema1-7_2013'!D14,0))=0,"-",((('Skema1-7_2014'!D14-'Skema1-7_2013'!D14)/'Skema1-7_2013'!D14))*100)</f>
        <v>1.0344320999127277</v>
      </c>
      <c r="E14" s="91">
        <f>IF((ROUND('Skema1-7_2013'!E14,0))=0,"-",((('Skema1-7_2014'!E14-'Skema1-7_2013'!E14)/'Skema1-7_2013'!E14))*100)</f>
        <v>7.3836557150037203</v>
      </c>
      <c r="F14" s="91">
        <f>IF((ROUND('Skema1-7_2013'!F14,0))=0,"-",((('Skema1-7_2014'!F14-'Skema1-7_2013'!F14)/'Skema1-7_2013'!F14))*100)</f>
        <v>-25.493434874482791</v>
      </c>
      <c r="G14" s="91">
        <f>IF((ROUND('Skema1-7_2013'!G14,0))=0,"-",((('Skema1-7_2014'!G14-'Skema1-7_2013'!G14)/'Skema1-7_2013'!G14))*100)</f>
        <v>-48.208995406764224</v>
      </c>
      <c r="H14" s="91">
        <f>IF((ROUND('Skema1-7_2013'!H14,0))=0,"-",((('Skema1-7_2014'!H14-'Skema1-7_2013'!H14)/'Skema1-7_2013'!H14))*100)</f>
        <v>-25.543627573512069</v>
      </c>
      <c r="I14" s="91">
        <f>IF((ROUND('Skema1-7_2013'!I14,0))=0,"-",((('Skema1-7_2014'!I14-'Skema1-7_2013'!I14)/'Skema1-7_2013'!I14))*100)</f>
        <v>387.65580875270871</v>
      </c>
      <c r="J14" s="82">
        <f>IF((ROUND('Skema1-7_2013'!J14,0))=0,"-",((('Skema1-7_2014'!J14-'Skema1-7_2013'!J14)/'Skema1-7_2013'!J14))*100)</f>
        <v>4.9381496869419079</v>
      </c>
      <c r="N14" s="39"/>
      <c r="O14" s="39"/>
      <c r="P14" s="39"/>
      <c r="Q14" s="39"/>
      <c r="R14" s="39"/>
    </row>
    <row r="15" spans="1:18" ht="13.5" customHeight="1" x14ac:dyDescent="0.2">
      <c r="A15" s="75">
        <f>+'(skema1-7_2013 - 13pl)'!A15</f>
        <v>3830</v>
      </c>
      <c r="B15" s="7" t="str">
        <f>+'(skema1-7_2013 - 13pl)'!B15</f>
        <v>Næstved, Slagelse og Ringsted sygehuse</v>
      </c>
      <c r="C15" s="91">
        <f>IF((ROUND('Skema1-7_2013'!C15,0))=0,"-",((('Skema1-7_2014'!C15-'Skema1-7_2013'!C15)/'Skema1-7_2013'!C15))*100)</f>
        <v>2.4292262910523883</v>
      </c>
      <c r="D15" s="91">
        <f>IF((ROUND('Skema1-7_2013'!D15,0))=0,"-",((('Skema1-7_2014'!D15-'Skema1-7_2013'!D15)/'Skema1-7_2013'!D15))*100)</f>
        <v>-1.6174964302493611</v>
      </c>
      <c r="E15" s="91">
        <f>IF((ROUND('Skema1-7_2013'!E15,0))=0,"-",((('Skema1-7_2014'!E15-'Skema1-7_2013'!E15)/'Skema1-7_2013'!E15))*100)</f>
        <v>7.7300351891925274</v>
      </c>
      <c r="F15" s="91">
        <f>IF((ROUND('Skema1-7_2013'!F15,0))=0,"-",((('Skema1-7_2014'!F15-'Skema1-7_2013'!F15)/'Skema1-7_2013'!F15))*100)</f>
        <v>160.73162923738795</v>
      </c>
      <c r="G15" s="91">
        <f>IF((ROUND('Skema1-7_2013'!G15,0))=0,"-",((('Skema1-7_2014'!G15-'Skema1-7_2013'!G15)/'Skema1-7_2013'!G15))*100)</f>
        <v>110.3770703563913</v>
      </c>
      <c r="H15" s="91">
        <f>IF((ROUND('Skema1-7_2013'!H15,0))=0,"-",((('Skema1-7_2014'!H15-'Skema1-7_2013'!H15)/'Skema1-7_2013'!H15))*100)</f>
        <v>19.672007724344166</v>
      </c>
      <c r="I15" s="91">
        <f>IF((ROUND('Skema1-7_2013'!I15,0))=0,"-",((('Skema1-7_2014'!I15-'Skema1-7_2013'!I15)/'Skema1-7_2013'!I15))*100)</f>
        <v>179.19437361901507</v>
      </c>
      <c r="J15" s="82">
        <f>IF((ROUND('Skema1-7_2013'!J15,0))=0,"-",((('Skema1-7_2014'!J15-'Skema1-7_2013'!J15)/'Skema1-7_2013'!J15))*100)</f>
        <v>-6.0655975311839179E-3</v>
      </c>
      <c r="N15" s="39"/>
      <c r="O15" s="39"/>
      <c r="P15" s="39"/>
      <c r="Q15" s="39"/>
      <c r="R15" s="39"/>
    </row>
    <row r="16" spans="1:18" ht="13.5" customHeight="1" x14ac:dyDescent="0.2">
      <c r="A16" s="75">
        <f>+'(skema1-7_2013 - 13pl)'!A16</f>
        <v>3840</v>
      </c>
      <c r="B16" s="7" t="str">
        <f>+'(skema1-7_2013 - 13pl)'!B16</f>
        <v>Nykøbing Sygehus</v>
      </c>
      <c r="C16" s="91">
        <f>IF((ROUND('Skema1-7_2013'!C16,0))=0,"-",((('Skema1-7_2014'!C16-'Skema1-7_2013'!C16)/'Skema1-7_2013'!C16))*100)</f>
        <v>4.3438777462762035</v>
      </c>
      <c r="D16" s="91">
        <f>IF((ROUND('Skema1-7_2013'!D16,0))=0,"-",((('Skema1-7_2014'!D16-'Skema1-7_2013'!D16)/'Skema1-7_2013'!D16))*100)</f>
        <v>4.4497045550680729</v>
      </c>
      <c r="E16" s="91">
        <f>IF((ROUND('Skema1-7_2013'!E16,0))=0,"-",((('Skema1-7_2014'!E16-'Skema1-7_2013'!E16)/'Skema1-7_2013'!E16))*100)</f>
        <v>11.872958763772983</v>
      </c>
      <c r="F16" s="91" t="str">
        <f>IF((ROUND('Skema1-7_2013'!F16,0))=0,"-",((('Skema1-7_2014'!F16-'Skema1-7_2013'!F16)/'Skema1-7_2013'!F16))*100)</f>
        <v>-</v>
      </c>
      <c r="G16" s="91">
        <f>IF((ROUND('Skema1-7_2013'!G16,0))=0,"-",((('Skema1-7_2014'!G16-'Skema1-7_2013'!G16)/'Skema1-7_2013'!G16))*100)</f>
        <v>-1828.3458547658747</v>
      </c>
      <c r="H16" s="91">
        <f>IF((ROUND('Skema1-7_2013'!H16,0))=0,"-",((('Skema1-7_2014'!H16-'Skema1-7_2013'!H16)/'Skema1-7_2013'!H16))*100)</f>
        <v>23.579339614213442</v>
      </c>
      <c r="I16" s="91">
        <f>IF((ROUND('Skema1-7_2013'!I16,0))=0,"-",((('Skema1-7_2014'!I16-'Skema1-7_2013'!I16)/'Skema1-7_2013'!I16))*100)</f>
        <v>130.06464990408853</v>
      </c>
      <c r="J16" s="82">
        <f>IF((ROUND('Skema1-7_2013'!J16,0))=0,"-",((('Skema1-7_2014'!J16-'Skema1-7_2013'!J16)/'Skema1-7_2013'!J16))*100)</f>
        <v>7.8030859606910878</v>
      </c>
      <c r="N16" s="39"/>
      <c r="O16" s="39"/>
      <c r="P16" s="39"/>
      <c r="Q16" s="39"/>
      <c r="R16" s="39"/>
    </row>
    <row r="17" spans="1:18" ht="13.5" customHeight="1" x14ac:dyDescent="0.2">
      <c r="A17" s="75">
        <f>+'(skema1-7_2013 - 13pl)'!A17</f>
        <v>4202</v>
      </c>
      <c r="B17" s="7" t="str">
        <f>+'(skema1-7_2013 - 13pl)'!B17</f>
        <v>Odense Universitetshospital</v>
      </c>
      <c r="C17" s="91">
        <f>IF((ROUND('Skema1-7_2013'!C17,0))=0,"-",((('Skema1-7_2014'!C17-'Skema1-7_2013'!C17)/'Skema1-7_2013'!C17))*100)</f>
        <v>1.6955950090131691</v>
      </c>
      <c r="D17" s="91">
        <f>IF((ROUND('Skema1-7_2013'!D17,0))=0,"-",((('Skema1-7_2014'!D17-'Skema1-7_2013'!D17)/'Skema1-7_2013'!D17))*100)</f>
        <v>-6.2315583159461552</v>
      </c>
      <c r="E17" s="91">
        <f>IF((ROUND('Skema1-7_2013'!E17,0))=0,"-",((('Skema1-7_2014'!E17-'Skema1-7_2013'!E17)/'Skema1-7_2013'!E17))*100)</f>
        <v>-6.4021398616526701</v>
      </c>
      <c r="F17" s="91">
        <f>IF((ROUND('Skema1-7_2013'!F17,0))=0,"-",((('Skema1-7_2014'!F17-'Skema1-7_2013'!F17)/'Skema1-7_2013'!F17))*100)</f>
        <v>4.4171827198839138</v>
      </c>
      <c r="G17" s="91">
        <f>IF((ROUND('Skema1-7_2013'!G17,0))=0,"-",((('Skema1-7_2014'!G17-'Skema1-7_2013'!G17)/'Skema1-7_2013'!G17))*100)</f>
        <v>-1.7958409941995306</v>
      </c>
      <c r="H17" s="91">
        <f>IF((ROUND('Skema1-7_2013'!H17,0))=0,"-",((('Skema1-7_2014'!H17-'Skema1-7_2013'!H17)/'Skema1-7_2013'!H17))*100)</f>
        <v>-10.295631894539898</v>
      </c>
      <c r="I17" s="91">
        <f>IF((ROUND('Skema1-7_2013'!I17,0))=0,"-",((('Skema1-7_2014'!I17-'Skema1-7_2013'!I17)/'Skema1-7_2013'!I17))*100)</f>
        <v>0.27037279649190804</v>
      </c>
      <c r="J17" s="82">
        <f>IF((ROUND('Skema1-7_2013'!J17,0))=0,"-",((('Skema1-7_2014'!J17-'Skema1-7_2013'!J17)/'Skema1-7_2013'!J17))*100)</f>
        <v>1.7054735848498501</v>
      </c>
      <c r="N17" s="39"/>
      <c r="O17" s="39"/>
      <c r="P17" s="39"/>
      <c r="Q17" s="39"/>
      <c r="R17" s="39"/>
    </row>
    <row r="18" spans="1:18" ht="13.5" customHeight="1" x14ac:dyDescent="0.2">
      <c r="A18" s="75">
        <f>+'(skema1-7_2013 - 13pl)'!A18</f>
        <v>5000</v>
      </c>
      <c r="B18" s="7" t="str">
        <f>+'(skema1-7_2013 - 13pl)'!B18</f>
        <v>Sygehus Sønderjylland</v>
      </c>
      <c r="C18" s="91">
        <f>IF((ROUND('Skema1-7_2013'!C18,0))=0,"-",((('Skema1-7_2014'!C18-'Skema1-7_2013'!C18)/'Skema1-7_2013'!C18))*100)</f>
        <v>-1.1816603573135105</v>
      </c>
      <c r="D18" s="91">
        <f>IF((ROUND('Skema1-7_2013'!D18,0))=0,"-",((('Skema1-7_2014'!D18-'Skema1-7_2013'!D18)/'Skema1-7_2013'!D18))*100)</f>
        <v>-5.9019754343476967</v>
      </c>
      <c r="E18" s="91">
        <f>IF((ROUND('Skema1-7_2013'!E18,0))=0,"-",((('Skema1-7_2014'!E18-'Skema1-7_2013'!E18)/'Skema1-7_2013'!E18))*100)</f>
        <v>-6.0726199470073992</v>
      </c>
      <c r="F18" s="91">
        <f>IF((ROUND('Skema1-7_2013'!F18,0))=0,"-",((('Skema1-7_2014'!F18-'Skema1-7_2013'!F18)/'Skema1-7_2013'!F18))*100)</f>
        <v>-8.93337182317903</v>
      </c>
      <c r="G18" s="91">
        <f>IF((ROUND('Skema1-7_2013'!G18,0))=0,"-",((('Skema1-7_2014'!G18-'Skema1-7_2013'!G18)/'Skema1-7_2013'!G18))*100)</f>
        <v>-12.137136088189838</v>
      </c>
      <c r="H18" s="91">
        <f>IF((ROUND('Skema1-7_2013'!H18,0))=0,"-",((('Skema1-7_2014'!H18-'Skema1-7_2013'!H18)/'Skema1-7_2013'!H18))*100)</f>
        <v>29.685737849289179</v>
      </c>
      <c r="I18" s="91">
        <f>IF((ROUND('Skema1-7_2013'!I18,0))=0,"-",((('Skema1-7_2014'!I18-'Skema1-7_2013'!I18)/'Skema1-7_2013'!I18))*100)</f>
        <v>0.30130727829849957</v>
      </c>
      <c r="J18" s="91">
        <f>IF((ROUND('Skema1-7_2013'!J18,0))=0,"-",((('Skema1-7_2014'!J18-'Skema1-7_2013'!J18)/'Skema1-7_2013'!J18))*100)</f>
        <v>-3.0035464566071828</v>
      </c>
      <c r="N18" s="39"/>
      <c r="O18" s="46"/>
      <c r="P18" s="44"/>
      <c r="Q18" s="39"/>
      <c r="R18" s="39"/>
    </row>
    <row r="19" spans="1:18" ht="13.5" customHeight="1" x14ac:dyDescent="0.2">
      <c r="A19" s="75">
        <f>+'(skema1-7_2013 - 13pl)'!A19</f>
        <v>5501</v>
      </c>
      <c r="B19" s="7" t="str">
        <f>+'(skema1-7_2013 - 13pl)'!B19</f>
        <v>Sydvestjysk Sygehus</v>
      </c>
      <c r="C19" s="91">
        <f>IF((ROUND('Skema1-7_2013'!C19,0))=0,"-",((('Skema1-7_2014'!C19-'Skema1-7_2013'!C19)/'Skema1-7_2013'!C19))*100)</f>
        <v>-1.5916666571182001</v>
      </c>
      <c r="D19" s="91">
        <f>IF((ROUND('Skema1-7_2013'!D19,0))=0,"-",((('Skema1-7_2014'!D19-'Skema1-7_2013'!D19)/'Skema1-7_2013'!D19))*100)</f>
        <v>-5.9499958067245204</v>
      </c>
      <c r="E19" s="91">
        <f>IF((ROUND('Skema1-7_2013'!E19,0))=0,"-",((('Skema1-7_2014'!E19-'Skema1-7_2013'!E19)/'Skema1-7_2013'!E19))*100)</f>
        <v>-6.1202151588234628</v>
      </c>
      <c r="F19" s="91">
        <f>IF((ROUND('Skema1-7_2013'!F19,0))=0,"-",((('Skema1-7_2014'!F19-'Skema1-7_2013'!F19)/'Skema1-7_2013'!F19))*100)</f>
        <v>8.3623943270549752</v>
      </c>
      <c r="G19" s="91">
        <f>IF((ROUND('Skema1-7_2013'!G19,0))=0,"-",((('Skema1-7_2014'!G19-'Skema1-7_2013'!G19)/'Skema1-7_2013'!G19))*100)</f>
        <v>-8.9230715953829449</v>
      </c>
      <c r="H19" s="91">
        <f>IF((ROUND('Skema1-7_2013'!H19,0))=0,"-",((('Skema1-7_2014'!H19-'Skema1-7_2013'!H19)/'Skema1-7_2013'!H19))*100)</f>
        <v>2.6248229656228919</v>
      </c>
      <c r="I19" s="91">
        <f>IF((ROUND('Skema1-7_2013'!I19,0))=0,"-",((('Skema1-7_2014'!I19-'Skema1-7_2013'!I19)/'Skema1-7_2013'!I19))*100)</f>
        <v>-0.60078057622311021</v>
      </c>
      <c r="J19" s="91">
        <f>IF((ROUND('Skema1-7_2013'!J19,0))=0,"-",((('Skema1-7_2014'!J19-'Skema1-7_2013'!J19)/'Skema1-7_2013'!J19))*100)</f>
        <v>-1.9960736082031225</v>
      </c>
      <c r="N19" s="39"/>
      <c r="O19" s="46"/>
      <c r="P19" s="44"/>
      <c r="Q19" s="39"/>
      <c r="R19" s="39"/>
    </row>
    <row r="20" spans="1:18" ht="13.5" customHeight="1" x14ac:dyDescent="0.2">
      <c r="A20" s="75">
        <f>+'(skema1-7_2013 - 13pl)'!A20</f>
        <v>6007</v>
      </c>
      <c r="B20" s="7" t="str">
        <f>+'(skema1-7_2013 - 13pl)'!B20</f>
        <v>Fredericia og Kolding sygehuse</v>
      </c>
      <c r="C20" s="91">
        <f>IF((ROUND('Skema1-7_2013'!C20,0))=0,"-",((('Skema1-7_2014'!C20-'Skema1-7_2013'!C20)/'Skema1-7_2013'!C20))*100)</f>
        <v>2.135077516229694</v>
      </c>
      <c r="D20" s="91">
        <f>IF((ROUND('Skema1-7_2013'!D20,0))=0,"-",((('Skema1-7_2014'!D20-'Skema1-7_2013'!D20)/'Skema1-7_2013'!D20))*100)</f>
        <v>-2.9291738097265978</v>
      </c>
      <c r="E20" s="91">
        <f>IF((ROUND('Skema1-7_2013'!E20,0))=0,"-",((('Skema1-7_2014'!E20-'Skema1-7_2013'!E20)/'Skema1-7_2013'!E20))*100)</f>
        <v>-3.1081677317038352</v>
      </c>
      <c r="F20" s="91">
        <f>IF((ROUND('Skema1-7_2013'!F20,0))=0,"-",((('Skema1-7_2014'!F20-'Skema1-7_2013'!F20)/'Skema1-7_2013'!F20))*100)</f>
        <v>3.9382110264581991</v>
      </c>
      <c r="G20" s="91">
        <f>IF((ROUND('Skema1-7_2013'!G20,0))=0,"-",((('Skema1-7_2014'!G20-'Skema1-7_2013'!G20)/'Skema1-7_2013'!G20))*100)</f>
        <v>8.3072415675407303</v>
      </c>
      <c r="H20" s="91">
        <f>IF((ROUND('Skema1-7_2013'!H20,0))=0,"-",((('Skema1-7_2014'!H20-'Skema1-7_2013'!H20)/'Skema1-7_2013'!H20))*100)</f>
        <v>10.959916501210703</v>
      </c>
      <c r="I20" s="91">
        <f>IF((ROUND('Skema1-7_2013'!I20,0))=0,"-",((('Skema1-7_2014'!I20-'Skema1-7_2013'!I20)/'Skema1-7_2013'!I20))*100)</f>
        <v>-3.1496032188831959</v>
      </c>
      <c r="J20" s="91">
        <f>IF((ROUND('Skema1-7_2013'!J20,0))=0,"-",((('Skema1-7_2014'!J20-'Skema1-7_2013'!J20)/'Skema1-7_2013'!J20))*100)</f>
        <v>1.5408150884241443</v>
      </c>
      <c r="N20" s="39"/>
      <c r="O20" s="46"/>
      <c r="P20" s="44"/>
      <c r="Q20" s="39"/>
      <c r="R20" s="39"/>
    </row>
    <row r="21" spans="1:18" ht="13.5" customHeight="1" x14ac:dyDescent="0.2">
      <c r="A21" s="75">
        <f>+'(skema1-7_2013 - 13pl)'!A21</f>
        <v>6008</v>
      </c>
      <c r="B21" s="7" t="str">
        <f>+'(skema1-7_2013 - 13pl)'!B21</f>
        <v>Vejle-Give-Middelfart sygehuse</v>
      </c>
      <c r="C21" s="91">
        <f>IF((ROUND('Skema1-7_2013'!C21,0))=0,"-",((('Skema1-7_2014'!C21-'Skema1-7_2013'!C21)/'Skema1-7_2013'!C21))*100)</f>
        <v>3.6499853503880955</v>
      </c>
      <c r="D21" s="91">
        <f>IF((ROUND('Skema1-7_2013'!D21,0))=0,"-",((('Skema1-7_2014'!D21-'Skema1-7_2013'!D21)/'Skema1-7_2013'!D21))*100)</f>
        <v>-4.0579575524794498</v>
      </c>
      <c r="E21" s="91">
        <f>IF((ROUND('Skema1-7_2013'!E21,0))=0,"-",((('Skema1-7_2014'!E21-'Skema1-7_2013'!E21)/'Skema1-7_2013'!E21))*100)</f>
        <v>-4.2300474001378232</v>
      </c>
      <c r="F21" s="91">
        <f>IF((ROUND('Skema1-7_2013'!F21,0))=0,"-",((('Skema1-7_2014'!F21-'Skema1-7_2013'!F21)/'Skema1-7_2013'!F21))*100)</f>
        <v>-0.57456280178583297</v>
      </c>
      <c r="G21" s="91">
        <f>IF((ROUND('Skema1-7_2013'!G21,0))=0,"-",((('Skema1-7_2014'!G21-'Skema1-7_2013'!G21)/'Skema1-7_2013'!G21))*100)</f>
        <v>5.4147353127819455</v>
      </c>
      <c r="H21" s="91">
        <f>IF((ROUND('Skema1-7_2013'!H21,0))=0,"-",((('Skema1-7_2014'!H21-'Skema1-7_2013'!H21)/'Skema1-7_2013'!H21))*100)</f>
        <v>4.6995579744209488</v>
      </c>
      <c r="I21" s="91">
        <f>IF((ROUND('Skema1-7_2013'!I21,0))=0,"-",((('Skema1-7_2014'!I21-'Skema1-7_2013'!I21)/'Skema1-7_2013'!I21))*100)</f>
        <v>-3.246900649742908</v>
      </c>
      <c r="J21" s="91">
        <f>IF((ROUND('Skema1-7_2013'!J21,0))=0,"-",((('Skema1-7_2014'!J21-'Skema1-7_2013'!J21)/'Skema1-7_2013'!J21))*100)</f>
        <v>3.2906368688292775</v>
      </c>
      <c r="N21" s="39"/>
      <c r="O21" s="39"/>
      <c r="P21" s="39"/>
      <c r="Q21" s="39"/>
      <c r="R21" s="39"/>
    </row>
    <row r="22" spans="1:18" ht="13.5" customHeight="1" x14ac:dyDescent="0.2">
      <c r="A22" s="75">
        <f>+'(skema1-7_2013 - 13pl)'!A22</f>
        <v>6013</v>
      </c>
      <c r="B22" s="7" t="str">
        <f>+'(skema1-7_2013 - 13pl)'!B22</f>
        <v>De Vestdanske Friklinikker, Give</v>
      </c>
      <c r="C22" s="91">
        <f>IF((ROUND('Skema1-7_2013'!C22,0))=0,"-",((('Skema1-7_2014'!C22-'Skema1-7_2013'!C22)/'Skema1-7_2013'!C22))*100)</f>
        <v>-0.36156434834026402</v>
      </c>
      <c r="D22" s="91">
        <f>IF((ROUND('Skema1-7_2013'!D22,0))=0,"-",((('Skema1-7_2014'!D22-'Skema1-7_2013'!D22)/'Skema1-7_2013'!D22))*100)</f>
        <v>-8.2995416947442564</v>
      </c>
      <c r="E22" s="91">
        <f>IF((ROUND('Skema1-7_2013'!E22,0))=0,"-",((('Skema1-7_2014'!E22-'Skema1-7_2013'!E22)/'Skema1-7_2013'!E22))*100)</f>
        <v>-8.5023997300740071</v>
      </c>
      <c r="F22" s="91" t="str">
        <f>IF((ROUND('Skema1-7_2013'!F22,0))=0,"-",((('Skema1-7_2014'!F22-'Skema1-7_2013'!F22)/'Skema1-7_2013'!F22))*100)</f>
        <v>-</v>
      </c>
      <c r="G22" s="91" t="str">
        <f>IF((ROUND('Skema1-7_2013'!G22,0))=0,"-",((('Skema1-7_2014'!G22-'Skema1-7_2013'!G22)/'Skema1-7_2013'!G22))*100)</f>
        <v>-</v>
      </c>
      <c r="H22" s="91" t="str">
        <f>IF((ROUND('Skema1-7_2013'!H22,0))=0,"-",((('Skema1-7_2014'!H22-'Skema1-7_2013'!H22)/'Skema1-7_2013'!H22))*100)</f>
        <v>-</v>
      </c>
      <c r="I22" s="91">
        <f>IF((ROUND('Skema1-7_2013'!I22,0))=0,"-",((('Skema1-7_2014'!I22-'Skema1-7_2013'!I22)/'Skema1-7_2013'!I22))*100)</f>
        <v>-100</v>
      </c>
      <c r="J22" s="91">
        <f>IF((ROUND('Skema1-7_2013'!J22,0))=0,"-",((('Skema1-7_2014'!J22-'Skema1-7_2013'!J22)/'Skema1-7_2013'!J22))*100)</f>
        <v>-0.76781676491581841</v>
      </c>
      <c r="N22" s="39"/>
      <c r="O22" s="39"/>
      <c r="P22" s="39"/>
      <c r="Q22" s="39"/>
      <c r="R22" s="39"/>
    </row>
    <row r="23" spans="1:18" ht="13.5" customHeight="1" x14ac:dyDescent="0.2">
      <c r="A23" s="75">
        <f>+'(skema1-7_2013 - 13pl)'!A23</f>
        <v>6006</v>
      </c>
      <c r="B23" s="7" t="str">
        <f>+'(skema1-7_2013 - 13pl)'!B23</f>
        <v>Hospitalenheden Horsens</v>
      </c>
      <c r="C23" s="91">
        <f>IF((ROUND('Skema1-7_2013'!C23,0))=0,"-",((('Skema1-7_2014'!C23-'Skema1-7_2013'!C23)/'Skema1-7_2013'!C23))*100)</f>
        <v>-0.24453995738265674</v>
      </c>
      <c r="D23" s="91">
        <f>IF((ROUND('Skema1-7_2013'!D23,0))=0,"-",((('Skema1-7_2014'!D23-'Skema1-7_2013'!D23)/'Skema1-7_2013'!D23))*100)</f>
        <v>-6.7605062803261662</v>
      </c>
      <c r="E23" s="91">
        <f>IF((ROUND('Skema1-7_2013'!E23,0))=0,"-",((('Skema1-7_2014'!E23-'Skema1-7_2013'!E23)/'Skema1-7_2013'!E23))*100)</f>
        <v>2.4293384081302829</v>
      </c>
      <c r="F23" s="91">
        <f>IF((ROUND('Skema1-7_2013'!F23,0))=0,"-",((('Skema1-7_2014'!F23-'Skema1-7_2013'!F23)/'Skema1-7_2013'!F23))*100)</f>
        <v>-11.33852409816801</v>
      </c>
      <c r="G23" s="91">
        <f>IF((ROUND('Skema1-7_2013'!G23,0))=0,"-",((('Skema1-7_2014'!G23-'Skema1-7_2013'!G23)/'Skema1-7_2013'!G23))*100)</f>
        <v>-5.7610380304835722</v>
      </c>
      <c r="H23" s="91">
        <f>IF((ROUND('Skema1-7_2013'!H23,0))=0,"-",((('Skema1-7_2014'!H23-'Skema1-7_2013'!H23)/'Skema1-7_2013'!H23))*100)</f>
        <v>4.6255554548153555</v>
      </c>
      <c r="I23" s="91">
        <f>IF((ROUND('Skema1-7_2013'!I23,0))=0,"-",((('Skema1-7_2014'!I23-'Skema1-7_2013'!I23)/'Skema1-7_2013'!I23))*100)</f>
        <v>-0.25013821863044439</v>
      </c>
      <c r="J23" s="91">
        <f>IF((ROUND('Skema1-7_2013'!J23,0))=0,"-",((('Skema1-7_2014'!J23-'Skema1-7_2013'!J23)/'Skema1-7_2013'!J23))*100)</f>
        <v>-0.63072767229314719</v>
      </c>
      <c r="N23" s="39"/>
      <c r="O23" s="39"/>
      <c r="P23" s="39"/>
      <c r="Q23" s="39"/>
      <c r="R23" s="39"/>
    </row>
    <row r="24" spans="1:18" ht="13.5" customHeight="1" x14ac:dyDescent="0.2">
      <c r="A24" s="75">
        <f>+'(skema1-7_2013 - 13pl)'!A24</f>
        <v>6650</v>
      </c>
      <c r="B24" s="7" t="str">
        <f>+'(skema1-7_2013 - 13pl)'!B24</f>
        <v>Hospitalsenheden Vest</v>
      </c>
      <c r="C24" s="91">
        <f>IF((ROUND('Skema1-7_2013'!C24,0))=0,"-",((('Skema1-7_2014'!C24-'Skema1-7_2013'!C24)/'Skema1-7_2013'!C24))*100)</f>
        <v>2.1383563635458924</v>
      </c>
      <c r="D24" s="91">
        <f>IF((ROUND('Skema1-7_2013'!D24,0))=0,"-",((('Skema1-7_2014'!D24-'Skema1-7_2013'!D24)/'Skema1-7_2013'!D24))*100)</f>
        <v>-2.8053542485301426</v>
      </c>
      <c r="E24" s="91">
        <f>IF((ROUND('Skema1-7_2013'!E24,0))=0,"-",((('Skema1-7_2014'!E24-'Skema1-7_2013'!E24)/'Skema1-7_2013'!E24))*100)</f>
        <v>4.7730637803795943</v>
      </c>
      <c r="F24" s="91" t="str">
        <f>IF((ROUND('Skema1-7_2013'!F24,0))=0,"-",((('Skema1-7_2014'!F24-'Skema1-7_2013'!F24)/'Skema1-7_2013'!F24))*100)</f>
        <v>-</v>
      </c>
      <c r="G24" s="91">
        <f>IF((ROUND('Skema1-7_2013'!G24,0))=0,"-",((('Skema1-7_2014'!G24-'Skema1-7_2013'!G24)/'Skema1-7_2013'!G24))*100)</f>
        <v>-43.274376074221458</v>
      </c>
      <c r="H24" s="91">
        <f>IF((ROUND('Skema1-7_2013'!H24,0))=0,"-",((('Skema1-7_2014'!H24-'Skema1-7_2013'!H24)/'Skema1-7_2013'!H24))*100)</f>
        <v>6.8409881358920481</v>
      </c>
      <c r="I24" s="91">
        <f>IF((ROUND('Skema1-7_2013'!I24,0))=0,"-",((('Skema1-7_2014'!I24-'Skema1-7_2013'!I24)/'Skema1-7_2013'!I24))*100)</f>
        <v>33.374624214902141</v>
      </c>
      <c r="J24" s="91">
        <f>IF((ROUND('Skema1-7_2013'!J24,0))=0,"-",((('Skema1-7_2014'!J24-'Skema1-7_2013'!J24)/'Skema1-7_2013'!J24))*100)</f>
        <v>2.2953891143824965</v>
      </c>
      <c r="N24" s="39"/>
      <c r="O24" s="39"/>
      <c r="P24" s="39"/>
      <c r="Q24" s="39"/>
      <c r="R24" s="39"/>
    </row>
    <row r="25" spans="1:18" ht="13.5" customHeight="1" x14ac:dyDescent="0.2">
      <c r="A25" s="75">
        <f>+'(skema1-7_2013 - 13pl)'!A25</f>
        <v>6620</v>
      </c>
      <c r="B25" s="7" t="str">
        <f>+'(skema1-7_2013 - 13pl)'!B25</f>
        <v>Aarhus Universitetshospital</v>
      </c>
      <c r="C25" s="91">
        <f>IF((ROUND('Skema1-7_2013'!C25,0))=0,"-",((('Skema1-7_2014'!C25-'Skema1-7_2013'!C25)/'Skema1-7_2013'!C25))*100)</f>
        <v>-1.2897502904825271</v>
      </c>
      <c r="D25" s="91">
        <f>IF((ROUND('Skema1-7_2013'!D25,0))=0,"-",((('Skema1-7_2014'!D25-'Skema1-7_2013'!D25)/'Skema1-7_2013'!D25))*100)</f>
        <v>-6.4603341839640223</v>
      </c>
      <c r="E25" s="91">
        <f>IF((ROUND('Skema1-7_2013'!E25,0))=0,"-",((('Skema1-7_2014'!E25-'Skema1-7_2013'!E25)/'Skema1-7_2013'!E25))*100)</f>
        <v>2.7800943434852834</v>
      </c>
      <c r="F25" s="91" t="str">
        <f>IF((ROUND('Skema1-7_2013'!F25,0))=0,"-",((('Skema1-7_2014'!F25-'Skema1-7_2013'!F25)/'Skema1-7_2013'!F25))*100)</f>
        <v>-</v>
      </c>
      <c r="G25" s="91">
        <f>IF((ROUND('Skema1-7_2013'!G25,0))=0,"-",((('Skema1-7_2014'!G25-'Skema1-7_2013'!G25)/'Skema1-7_2013'!G25))*100)</f>
        <v>102.83213762536154</v>
      </c>
      <c r="H25" s="91">
        <f>IF((ROUND('Skema1-7_2013'!H25,0))=0,"-",((('Skema1-7_2014'!H25-'Skema1-7_2013'!H25)/'Skema1-7_2013'!H25))*100)</f>
        <v>7.3039334021123672</v>
      </c>
      <c r="I25" s="91">
        <f>IF((ROUND('Skema1-7_2013'!I25,0))=0,"-",((('Skema1-7_2014'!I25-'Skema1-7_2013'!I25)/'Skema1-7_2013'!I25))*100)</f>
        <v>1.378778711489925</v>
      </c>
      <c r="J25" s="91">
        <f>IF((ROUND('Skema1-7_2013'!J25,0))=0,"-",((('Skema1-7_2014'!J25-'Skema1-7_2013'!J25)/'Skema1-7_2013'!J25))*100)</f>
        <v>-1.1567717036898508</v>
      </c>
      <c r="N25" s="39"/>
      <c r="O25" s="39"/>
      <c r="P25" s="39"/>
      <c r="Q25" s="39"/>
      <c r="R25" s="39"/>
    </row>
    <row r="26" spans="1:18" ht="13.5" customHeight="1" x14ac:dyDescent="0.2">
      <c r="A26" s="75">
        <f>+'(skema1-7_2013 - 13pl)'!A26</f>
        <v>7005</v>
      </c>
      <c r="B26" s="7" t="str">
        <f>+'(skema1-7_2013 - 13pl)'!B26</f>
        <v>Regionshospitalet Randers</v>
      </c>
      <c r="C26" s="91">
        <f>IF((ROUND('Skema1-7_2013'!C26,0))=0,"-",((('Skema1-7_2014'!C26-'Skema1-7_2013'!C26)/'Skema1-7_2013'!C26))*100)</f>
        <v>3.4228333705446348</v>
      </c>
      <c r="D26" s="91">
        <f>IF((ROUND('Skema1-7_2013'!D26,0))=0,"-",((('Skema1-7_2014'!D26-'Skema1-7_2013'!D26)/'Skema1-7_2013'!D26))*100)</f>
        <v>-1.4831696697155916</v>
      </c>
      <c r="E26" s="91">
        <f>IF((ROUND('Skema1-7_2013'!E26,0))=0,"-",((('Skema1-7_2014'!E26-'Skema1-7_2013'!E26)/'Skema1-7_2013'!E26))*100)</f>
        <v>6.3311699125329124</v>
      </c>
      <c r="F26" s="91">
        <f>IF((ROUND('Skema1-7_2013'!F26,0))=0,"-",((('Skema1-7_2014'!F26-'Skema1-7_2013'!F26)/'Skema1-7_2013'!F26))*100)</f>
        <v>-6.0511174520916446</v>
      </c>
      <c r="G26" s="91">
        <f>IF((ROUND('Skema1-7_2013'!G26,0))=0,"-",((('Skema1-7_2014'!G26-'Skema1-7_2013'!G26)/'Skema1-7_2013'!G26))*100)</f>
        <v>-59.995603912517858</v>
      </c>
      <c r="H26" s="91">
        <f>IF((ROUND('Skema1-7_2013'!H26,0))=0,"-",((('Skema1-7_2014'!H26-'Skema1-7_2013'!H26)/'Skema1-7_2013'!H26))*100)</f>
        <v>6.5296969109943106</v>
      </c>
      <c r="I26" s="91">
        <f>IF((ROUND('Skema1-7_2013'!I26,0))=0,"-",((('Skema1-7_2014'!I26-'Skema1-7_2013'!I26)/'Skema1-7_2013'!I26))*100)</f>
        <v>-6.4358813744624754</v>
      </c>
      <c r="J26" s="91">
        <f>IF((ROUND('Skema1-7_2013'!J26,0))=0,"-",((('Skema1-7_2014'!J26-'Skema1-7_2013'!J26)/'Skema1-7_2013'!J26))*100)</f>
        <v>3.1010020901003585</v>
      </c>
      <c r="N26" s="39"/>
      <c r="O26" s="39"/>
      <c r="P26" s="39"/>
      <c r="Q26" s="39"/>
      <c r="R26" s="39"/>
    </row>
    <row r="27" spans="1:18" ht="13.5" customHeight="1" x14ac:dyDescent="0.2">
      <c r="A27" s="75">
        <f>+'(skema1-7_2013 - 13pl)'!A27</f>
        <v>6630</v>
      </c>
      <c r="B27" s="7" t="str">
        <f>+'(skema1-7_2013 - 13pl)'!B27</f>
        <v>Hospitalsenhed Midt</v>
      </c>
      <c r="C27" s="91">
        <f>IF((ROUND('Skema1-7_2013'!C27,0))=0,"-",((('Skema1-7_2014'!C27-'Skema1-7_2013'!C27)/'Skema1-7_2013'!C27))*100)</f>
        <v>0.85417041746262712</v>
      </c>
      <c r="D27" s="91">
        <f>IF((ROUND('Skema1-7_2013'!D27,0))=0,"-",((('Skema1-7_2014'!D27-'Skema1-7_2013'!D27)/'Skema1-7_2013'!D27))*100)</f>
        <v>-3.1611345787720588</v>
      </c>
      <c r="E27" s="91">
        <f>IF((ROUND('Skema1-7_2013'!E27,0))=0,"-",((('Skema1-7_2014'!E27-'Skema1-7_2013'!E27)/'Skema1-7_2013'!E27))*100)</f>
        <v>4.4126746751309147</v>
      </c>
      <c r="F27" s="91" t="str">
        <f>IF((ROUND('Skema1-7_2013'!F27,0))=0,"-",((('Skema1-7_2014'!F27-'Skema1-7_2013'!F27)/'Skema1-7_2013'!F27))*100)</f>
        <v>-</v>
      </c>
      <c r="G27" s="91">
        <f>IF((ROUND('Skema1-7_2013'!G27,0))=0,"-",((('Skema1-7_2014'!G27-'Skema1-7_2013'!G27)/'Skema1-7_2013'!G27))*100)</f>
        <v>-74.009551331484602</v>
      </c>
      <c r="H27" s="91">
        <f>IF((ROUND('Skema1-7_2013'!H27,0))=0,"-",((('Skema1-7_2014'!H27-'Skema1-7_2013'!H27)/'Skema1-7_2013'!H27))*100)</f>
        <v>45.665797592137949</v>
      </c>
      <c r="I27" s="91">
        <f>IF((ROUND('Skema1-7_2013'!I27,0))=0,"-",((('Skema1-7_2014'!I27-'Skema1-7_2013'!I27)/'Skema1-7_2013'!I27))*100)</f>
        <v>-73.214122831489689</v>
      </c>
      <c r="J27" s="91">
        <f>IF((ROUND('Skema1-7_2013'!J27,0))=0,"-",((('Skema1-7_2014'!J27-'Skema1-7_2013'!J27)/'Skema1-7_2013'!J27))*100)</f>
        <v>1.3588330417166092</v>
      </c>
      <c r="N27" s="39"/>
      <c r="O27" s="46"/>
      <c r="P27" s="46"/>
      <c r="Q27" s="39"/>
      <c r="R27" s="39"/>
    </row>
    <row r="28" spans="1:18" ht="13.5" customHeight="1" x14ac:dyDescent="0.2">
      <c r="A28" s="75">
        <f>+'(skema1-7_2013 - 13pl)'!A28</f>
        <v>7603</v>
      </c>
      <c r="B28" s="7" t="str">
        <f>+'(skema1-7_2013 - 13pl)'!B28</f>
        <v>Sygehus Thy - Mors</v>
      </c>
      <c r="C28" s="91">
        <f>IF((ROUND('Skema1-7_2013'!C28,0))=0,"-",((('Skema1-7_2014'!C28-'Skema1-7_2013'!C28)/'Skema1-7_2013'!C28))*100)</f>
        <v>1.1242775325112353</v>
      </c>
      <c r="D28" s="91">
        <f>IF((ROUND('Skema1-7_2013'!D28,0))=0,"-",((('Skema1-7_2014'!D28-'Skema1-7_2013'!D28)/'Skema1-7_2013'!D28))*100)</f>
        <v>0.56499174617018411</v>
      </c>
      <c r="E28" s="91">
        <f>IF((ROUND('Skema1-7_2013'!E28,0))=0,"-",((('Skema1-7_2014'!E28-'Skema1-7_2013'!E28)/'Skema1-7_2013'!E28))*100)</f>
        <v>-0.38367378973709848</v>
      </c>
      <c r="F28" s="91">
        <f>IF((ROUND('Skema1-7_2013'!F28,0))=0,"-",((('Skema1-7_2014'!F28-'Skema1-7_2013'!F28)/'Skema1-7_2013'!F28))*100)</f>
        <v>-17.811622972171534</v>
      </c>
      <c r="G28" s="91">
        <f>IF((ROUND('Skema1-7_2013'!G28,0))=0,"-",((('Skema1-7_2014'!G28-'Skema1-7_2013'!G28)/'Skema1-7_2013'!G28))*100)</f>
        <v>-44.242399679130116</v>
      </c>
      <c r="H28" s="91">
        <f>IF((ROUND('Skema1-7_2013'!H28,0))=0,"-",((('Skema1-7_2014'!H28-'Skema1-7_2013'!H28)/'Skema1-7_2013'!H28))*100)</f>
        <v>71.607238283494553</v>
      </c>
      <c r="I28" s="91">
        <f>IF((ROUND('Skema1-7_2013'!I28,0))=0,"-",((('Skema1-7_2014'!I28-'Skema1-7_2013'!I28)/'Skema1-7_2013'!I28))*100)</f>
        <v>-5.2225525874647882</v>
      </c>
      <c r="J28" s="91">
        <f>IF((ROUND('Skema1-7_2013'!J28,0))=0,"-",((('Skema1-7_2014'!J28-'Skema1-7_2013'!J28)/'Skema1-7_2013'!J28))*100)</f>
        <v>0.87970530689408122</v>
      </c>
      <c r="N28" s="39"/>
      <c r="O28" s="46"/>
      <c r="P28" s="44"/>
      <c r="Q28" s="39"/>
      <c r="R28" s="39"/>
    </row>
    <row r="29" spans="1:18" ht="13.5" customHeight="1" x14ac:dyDescent="0.2">
      <c r="A29" s="75">
        <f>+'(skema1-7_2013 - 13pl)'!A29</f>
        <v>8001</v>
      </c>
      <c r="B29" s="7" t="str">
        <f>+'(skema1-7_2013 - 13pl)'!B29</f>
        <v>Aalborg Universitetshospital</v>
      </c>
      <c r="C29" s="91">
        <f>IF((ROUND('Skema1-7_2013'!C29,0))=0,"-",((('Skema1-7_2014'!C29-'Skema1-7_2013'!C29)/'Skema1-7_2013'!C29))*100)</f>
        <v>2.0281266979264072</v>
      </c>
      <c r="D29" s="91">
        <f>IF((ROUND('Skema1-7_2013'!D29,0))=0,"-",((('Skema1-7_2014'!D29-'Skema1-7_2013'!D29)/'Skema1-7_2013'!D29))*100)</f>
        <v>-12.478962795923557</v>
      </c>
      <c r="E29" s="91">
        <f>IF((ROUND('Skema1-7_2013'!E29,0))=0,"-",((('Skema1-7_2014'!E29-'Skema1-7_2013'!E29)/'Skema1-7_2013'!E29))*100)</f>
        <v>-4.1233290820773503</v>
      </c>
      <c r="F29" s="91">
        <f>IF((ROUND('Skema1-7_2013'!F29,0))=0,"-",((('Skema1-7_2014'!F29-'Skema1-7_2013'!F29)/'Skema1-7_2013'!F29))*100)</f>
        <v>10.975958543134288</v>
      </c>
      <c r="G29" s="91">
        <f>IF((ROUND('Skema1-7_2013'!G29,0))=0,"-",((('Skema1-7_2014'!G29-'Skema1-7_2013'!G29)/'Skema1-7_2013'!G29))*100)</f>
        <v>-4.8076928130006706</v>
      </c>
      <c r="H29" s="91">
        <f>IF((ROUND('Skema1-7_2013'!H29,0))=0,"-",((('Skema1-7_2014'!H29-'Skema1-7_2013'!H29)/'Skema1-7_2013'!H29))*100)</f>
        <v>32.995146260933538</v>
      </c>
      <c r="I29" s="91">
        <f>IF((ROUND('Skema1-7_2013'!I29,0))=0,"-",((('Skema1-7_2014'!I29-'Skema1-7_2013'!I29)/'Skema1-7_2013'!I29))*100)</f>
        <v>-10.78959290837016</v>
      </c>
      <c r="J29" s="91">
        <f>IF((ROUND('Skema1-7_2013'!J29,0))=0,"-",((('Skema1-7_2014'!J29-'Skema1-7_2013'!J29)/'Skema1-7_2013'!J29))*100)</f>
        <v>-0.35396621619431257</v>
      </c>
      <c r="N29" s="39"/>
      <c r="O29" s="39"/>
      <c r="P29" s="39"/>
      <c r="Q29" s="39"/>
      <c r="R29" s="39"/>
    </row>
    <row r="30" spans="1:18" ht="13.5" customHeight="1" x14ac:dyDescent="0.2">
      <c r="A30" s="75">
        <f>+'(skema1-7_2013 - 13pl)'!A30</f>
        <v>8003</v>
      </c>
      <c r="B30" s="7" t="str">
        <f>+'(skema1-7_2013 - 13pl)'!B30</f>
        <v>Sygehus Vendsyssel</v>
      </c>
      <c r="C30" s="91">
        <f>IF((ROUND('Skema1-7_2013'!C30,0))=0,"-",((('Skema1-7_2014'!C30-'Skema1-7_2013'!C30)/'Skema1-7_2013'!C30))*100)</f>
        <v>-0.63168590966384075</v>
      </c>
      <c r="D30" s="91">
        <f>IF((ROUND('Skema1-7_2013'!D30,0))=0,"-",((('Skema1-7_2014'!D30-'Skema1-7_2013'!D30)/'Skema1-7_2013'!D30))*100)</f>
        <v>-6.0103914606986493</v>
      </c>
      <c r="E30" s="91">
        <f>IF((ROUND('Skema1-7_2013'!E30,0))=0,"-",((('Skema1-7_2014'!E30-'Skema1-7_2013'!E30)/'Skema1-7_2013'!E30))*100)</f>
        <v>-0.5596237975356334</v>
      </c>
      <c r="F30" s="91">
        <f>IF((ROUND('Skema1-7_2013'!F30,0))=0,"-",((('Skema1-7_2014'!F30-'Skema1-7_2013'!F30)/'Skema1-7_2013'!F30))*100)</f>
        <v>28.078792692978922</v>
      </c>
      <c r="G30" s="91">
        <f>IF((ROUND('Skema1-7_2013'!G30,0))=0,"-",((('Skema1-7_2014'!G30-'Skema1-7_2013'!G30)/'Skema1-7_2013'!G30))*100)</f>
        <v>208.39947225871481</v>
      </c>
      <c r="H30" s="91">
        <f>IF((ROUND('Skema1-7_2013'!H30,0))=0,"-",((('Skema1-7_2014'!H30-'Skema1-7_2013'!H30)/'Skema1-7_2013'!H30))*100)</f>
        <v>30.391452440753685</v>
      </c>
      <c r="I30" s="91">
        <f>IF((ROUND('Skema1-7_2013'!I30,0))=0,"-",((('Skema1-7_2014'!I30-'Skema1-7_2013'!I30)/'Skema1-7_2013'!I30))*100)</f>
        <v>-12.68121185677685</v>
      </c>
      <c r="J30" s="91">
        <f>IF((ROUND('Skema1-7_2013'!J30,0))=0,"-",((('Skema1-7_2014'!J30-'Skema1-7_2013'!J30)/'Skema1-7_2013'!J30))*100)</f>
        <v>-2.8148493787323448</v>
      </c>
      <c r="N30" s="39"/>
      <c r="O30" s="39"/>
      <c r="P30" s="39"/>
      <c r="Q30" s="39"/>
      <c r="R30" s="39"/>
    </row>
    <row r="31" spans="1:18" ht="13.5" customHeight="1" x14ac:dyDescent="0.2">
      <c r="A31" s="13"/>
      <c r="B31" s="13" t="s">
        <v>20</v>
      </c>
      <c r="C31" s="83"/>
      <c r="D31" s="83"/>
      <c r="E31" s="83"/>
      <c r="F31" s="83"/>
      <c r="G31" s="83"/>
      <c r="H31" s="83"/>
      <c r="I31" s="83"/>
      <c r="J31" s="159"/>
      <c r="K31" s="35"/>
      <c r="L31" s="39"/>
      <c r="N31" s="39"/>
      <c r="O31" s="39"/>
      <c r="P31" s="39"/>
      <c r="Q31" s="39"/>
      <c r="R31" s="39"/>
    </row>
    <row r="32" spans="1:18" ht="13.5" customHeight="1" x14ac:dyDescent="0.2">
      <c r="A32" s="37"/>
      <c r="B32" s="15"/>
      <c r="C32" s="3"/>
      <c r="D32" s="3"/>
      <c r="E32" s="3"/>
      <c r="F32" s="3"/>
      <c r="G32" s="3"/>
      <c r="H32" s="3"/>
      <c r="I32" s="3"/>
      <c r="J32" s="3"/>
      <c r="L32" s="39"/>
      <c r="N32" s="39"/>
      <c r="O32" s="39"/>
      <c r="P32" s="39"/>
      <c r="Q32" s="39"/>
      <c r="R32" s="39"/>
    </row>
    <row r="33" spans="1:18" ht="13.5" customHeight="1" x14ac:dyDescent="0.2">
      <c r="A33" s="37"/>
      <c r="B33" s="17" t="s">
        <v>34</v>
      </c>
      <c r="C33" s="84">
        <f>IF((ROUND('Skema1-7_2013'!C33,0))=0,"-",((('Skema1-7_2014'!C33-'Skema1-7_2013'!C33)/'Skema1-7_2013'!C33))*100)</f>
        <v>3.1597289569258136</v>
      </c>
      <c r="D33" s="160">
        <f>IF((ROUND('Skema1-7_2013'!D33,0))=0,"-",((('Skema1-7_2014'!D33-'Skema1-7_2013'!D33)/'Skema1-7_2013'!D33))*100)</f>
        <v>-50.30169618436706</v>
      </c>
      <c r="E33" s="160">
        <f>IF((ROUND('Skema1-7_2013'!E33,0))=0,"-",((('Skema1-7_2014'!E33-'Skema1-7_2013'!E33)/'Skema1-7_2013'!E33))*100)</f>
        <v>11.197969110043831</v>
      </c>
      <c r="F33" s="160" t="str">
        <f>IF((ROUND('Skema1-7_2013'!F33,0))=0,"-",((('Skema1-7_2014'!F33-'Skema1-7_2013'!F33)/'Skema1-7_2013'!F33))*100)</f>
        <v>-</v>
      </c>
      <c r="G33" s="160">
        <f>IF((ROUND('Skema1-7_2013'!G33,0))=0,"-",((('Skema1-7_2014'!G33-'Skema1-7_2013'!G33)/'Skema1-7_2013'!G33))*100)</f>
        <v>11.874638851801448</v>
      </c>
      <c r="H33" s="160">
        <f>IF((ROUND('Skema1-7_2013'!H33,0))=0,"-",((('Skema1-7_2014'!H33-'Skema1-7_2013'!H33)/'Skema1-7_2013'!H33))*100)</f>
        <v>1.1040402161230132</v>
      </c>
      <c r="I33" s="160">
        <f>IF((ROUND('Skema1-7_2013'!I33,0))=0,"-",((('Skema1-7_2014'!I33-'Skema1-7_2013'!I33)/'Skema1-7_2013'!I33))*100)</f>
        <v>39.274834243657637</v>
      </c>
      <c r="J33" s="160">
        <f>IF((ROUND('Skema1-7_2013'!J33,0))=0,"-",((('Skema1-7_2014'!J33-'Skema1-7_2013'!J33)/'Skema1-7_2013'!J33))*100)</f>
        <v>2.4180654358399436</v>
      </c>
      <c r="L33" s="47"/>
      <c r="N33" s="39"/>
      <c r="O33" s="39"/>
      <c r="P33" s="39"/>
      <c r="Q33" s="39"/>
      <c r="R33" s="39"/>
    </row>
    <row r="34" spans="1:18" ht="13.5" customHeight="1" x14ac:dyDescent="0.2">
      <c r="A34" s="37"/>
      <c r="B34" s="19" t="s">
        <v>35</v>
      </c>
      <c r="C34" s="85">
        <f>IF((ROUND('Skema1-7_2013'!C34,0))=0,"-",((('Skema1-7_2014'!C34-'Skema1-7_2013'!C34)/'Skema1-7_2013'!C34))*100)</f>
        <v>5.4451330747488651</v>
      </c>
      <c r="D34" s="85">
        <f>IF((ROUND('Skema1-7_2013'!D34,0))=0,"-",((('Skema1-7_2014'!D34-'Skema1-7_2013'!D34)/'Skema1-7_2013'!D34))*100)</f>
        <v>1.6045320450047644</v>
      </c>
      <c r="E34" s="85">
        <f>IF((ROUND('Skema1-7_2013'!E34,0))=0,"-",((('Skema1-7_2014'!E34-'Skema1-7_2013'!E34)/'Skema1-7_2013'!E34))*100)</f>
        <v>11.09611532709928</v>
      </c>
      <c r="F34" s="85">
        <f>IF((ROUND('Skema1-7_2013'!F34,0))=0,"-",((('Skema1-7_2014'!F34-'Skema1-7_2013'!F34)/'Skema1-7_2013'!F34))*100)</f>
        <v>9.0714207190144691</v>
      </c>
      <c r="G34" s="85">
        <f>IF((ROUND('Skema1-7_2013'!G34,0))=0,"-",((('Skema1-7_2014'!G34-'Skema1-7_2013'!G34)/'Skema1-7_2013'!G34))*100)</f>
        <v>18.137471144806685</v>
      </c>
      <c r="H34" s="85">
        <f>IF((ROUND('Skema1-7_2013'!H34,0))=0,"-",((('Skema1-7_2014'!H34-'Skema1-7_2013'!H34)/'Skema1-7_2013'!H34))*100)</f>
        <v>17.766243544684471</v>
      </c>
      <c r="I34" s="81">
        <f>IF((ROUND('Skema1-7_2013'!I34,0))=0,"-",((('Skema1-7_2014'!I34-'Skema1-7_2013'!I34)/'Skema1-7_2013'!I34))*100)</f>
        <v>-47.479804067034287</v>
      </c>
      <c r="J34" s="86">
        <f>IF((ROUND('Skema1-7_2013'!J34,0))=0,"-",((('Skema1-7_2014'!J34-'Skema1-7_2013'!J34)/'Skema1-7_2013'!J34))*100)</f>
        <v>4.9210774189269921</v>
      </c>
      <c r="L34" s="47"/>
      <c r="N34" s="46"/>
      <c r="O34" s="46"/>
      <c r="P34" s="46"/>
      <c r="Q34" s="39"/>
      <c r="R34" s="39"/>
    </row>
    <row r="35" spans="1:18" ht="13.5" customHeight="1" x14ac:dyDescent="0.2">
      <c r="A35" s="37"/>
      <c r="B35" s="19" t="s">
        <v>36</v>
      </c>
      <c r="C35" s="85">
        <f>IF((ROUND('Skema1-7_2013'!C35,0))=0,"-",((('Skema1-7_2014'!C35-'Skema1-7_2013'!C35)/'Skema1-7_2013'!C35))*100)</f>
        <v>1.1328167010055867</v>
      </c>
      <c r="D35" s="85">
        <f>IF((ROUND('Skema1-7_2013'!D35,0))=0,"-",((('Skema1-7_2014'!D35-'Skema1-7_2013'!D35)/'Skema1-7_2013'!D35))*100)</f>
        <v>-5.5316365500310365</v>
      </c>
      <c r="E35" s="85">
        <f>IF((ROUND('Skema1-7_2013'!E35,0))=0,"-",((('Skema1-7_2014'!E35-'Skema1-7_2013'!E35)/'Skema1-7_2013'!E35))*100)</f>
        <v>-5.7034753842019947</v>
      </c>
      <c r="F35" s="85">
        <f>IF((ROUND('Skema1-7_2013'!F35,0))=0,"-",((('Skema1-7_2014'!F35-'Skema1-7_2013'!F35)/'Skema1-7_2013'!F35))*100)</f>
        <v>2.4445180176136456</v>
      </c>
      <c r="G35" s="85">
        <f>IF((ROUND('Skema1-7_2013'!G35,0))=0,"-",((('Skema1-7_2014'!G35-'Skema1-7_2013'!G35)/'Skema1-7_2013'!G35))*100)</f>
        <v>-3.2709008433845379</v>
      </c>
      <c r="H35" s="85">
        <f>IF((ROUND('Skema1-7_2013'!H35,0))=0,"-",((('Skema1-7_2014'!H35-'Skema1-7_2013'!H35)/'Skema1-7_2013'!H35))*100)</f>
        <v>2.8393213468955043</v>
      </c>
      <c r="I35" s="81" t="str">
        <f>IF((ROUND('Skema1-7_2013'!I35,0))=0,"-",((('Skema1-7_2014'!I35-'Skema1-7_2013'!I35)/'Skema1-7_2013'!I35))*100)</f>
        <v>-</v>
      </c>
      <c r="J35" s="86">
        <f>IF((ROUND('Skema1-7_2013'!J35,0))=0,"-",((('Skema1-7_2014'!J35-'Skema1-7_2013'!J35)/'Skema1-7_2013'!J35))*100)</f>
        <v>0.72644572219888637</v>
      </c>
      <c r="L35" s="47"/>
      <c r="N35" s="46"/>
      <c r="O35" s="46"/>
      <c r="P35" s="46"/>
      <c r="Q35" s="39"/>
      <c r="R35" s="39"/>
    </row>
    <row r="36" spans="1:18" ht="13.5" customHeight="1" x14ac:dyDescent="0.2">
      <c r="A36" s="37"/>
      <c r="B36" s="19" t="s">
        <v>37</v>
      </c>
      <c r="C36" s="85">
        <f>IF((ROUND('Skema1-7_2013'!C36,0))=0,"-",((('Skema1-7_2014'!C36-'Skema1-7_2013'!C36)/'Skema1-7_2013'!C36))*100)</f>
        <v>0.14148501426332749</v>
      </c>
      <c r="D36" s="85">
        <f>IF((ROUND('Skema1-7_2013'!D36,0))=0,"-",((('Skema1-7_2014'!D36-'Skema1-7_2013'!D36)/'Skema1-7_2013'!D36))*100)</f>
        <v>-5.0848369807423071</v>
      </c>
      <c r="E36" s="85">
        <f>IF((ROUND('Skema1-7_2013'!E36,0))=0,"-",((('Skema1-7_2014'!E36-'Skema1-7_2013'!E36)/'Skema1-7_2013'!E36))*100)</f>
        <v>3.6413868484323735</v>
      </c>
      <c r="F36" s="85">
        <f>IF((ROUND('Skema1-7_2013'!F36,0))=0,"-",((('Skema1-7_2014'!F36-'Skema1-7_2013'!F36)/'Skema1-7_2013'!F36))*100)</f>
        <v>-6.770973833288374</v>
      </c>
      <c r="G36" s="85">
        <f>IF((ROUND('Skema1-7_2013'!G36,0))=0,"-",((('Skema1-7_2014'!G36-'Skema1-7_2013'!G36)/'Skema1-7_2013'!G36))*100)</f>
        <v>-15.646695025144961</v>
      </c>
      <c r="H36" s="85">
        <f>IF((ROUND('Skema1-7_2013'!H36,0))=0,"-",((('Skema1-7_2014'!H36-'Skema1-7_2013'!H36)/'Skema1-7_2013'!H36))*100)</f>
        <v>11.556134849073842</v>
      </c>
      <c r="I36" s="81">
        <f>IF((ROUND('Skema1-7_2013'!I36,0))=0,"-",((('Skema1-7_2014'!I36-'Skema1-7_2013'!I36)/'Skema1-7_2013'!I36))*100)</f>
        <v>-51.166459562659718</v>
      </c>
      <c r="J36" s="86">
        <f>IF((ROUND('Skema1-7_2013'!J36,0))=0,"-",((('Skema1-7_2014'!J36-'Skema1-7_2013'!J36)/'Skema1-7_2013'!J36))*100)</f>
        <v>0.20157614365637722</v>
      </c>
      <c r="L36" s="47"/>
      <c r="N36" s="46"/>
      <c r="O36" s="46"/>
      <c r="P36" s="46"/>
      <c r="Q36" s="39"/>
      <c r="R36" s="39"/>
    </row>
    <row r="37" spans="1:18" ht="13.5" customHeight="1" x14ac:dyDescent="0.2">
      <c r="A37" s="38"/>
      <c r="B37" s="20" t="s">
        <v>38</v>
      </c>
      <c r="C37" s="87">
        <f>IF((ROUND('Skema1-7_2013'!C37,0))=0,"-",((('Skema1-7_2014'!C37-'Skema1-7_2013'!C37)/'Skema1-7_2013'!C37))*100)</f>
        <v>1.4887710777272765</v>
      </c>
      <c r="D37" s="87">
        <f>IF((ROUND('Skema1-7_2013'!D37,0))=0,"-",((('Skema1-7_2014'!D37-'Skema1-7_2013'!D37)/'Skema1-7_2013'!D37))*100)</f>
        <v>-10.172545988713036</v>
      </c>
      <c r="E37" s="87">
        <f>IF((ROUND('Skema1-7_2013'!E37,0))=0,"-",((('Skema1-7_2014'!E37-'Skema1-7_2013'!E37)/'Skema1-7_2013'!E37))*100)</f>
        <v>-3.0783838120226519</v>
      </c>
      <c r="F37" s="87">
        <f>IF((ROUND('Skema1-7_2013'!F37,0))=0,"-",((('Skema1-7_2014'!F37-'Skema1-7_2013'!F37)/'Skema1-7_2013'!F37))*100)</f>
        <v>14.853807833468544</v>
      </c>
      <c r="G37" s="87">
        <f>IF((ROUND('Skema1-7_2013'!G37,0))=0,"-",((('Skema1-7_2014'!G37-'Skema1-7_2013'!G37)/'Skema1-7_2013'!G37))*100)</f>
        <v>0.64280103885354012</v>
      </c>
      <c r="H37" s="87">
        <f>IF((ROUND('Skema1-7_2013'!H37,0))=0,"-",((('Skema1-7_2014'!H37-'Skema1-7_2013'!H37)/'Skema1-7_2013'!H37))*100)</f>
        <v>34.744755041371235</v>
      </c>
      <c r="I37" s="87">
        <f>IF((ROUND('Skema1-7_2013'!I37,0))=0,"-",((('Skema1-7_2014'!I37-'Skema1-7_2013'!I37)/'Skema1-7_2013'!I37))*100)</f>
        <v>-100</v>
      </c>
      <c r="J37" s="88">
        <f>IF((ROUND('Skema1-7_2013'!J37,0))=0,"-",((('Skema1-7_2014'!J37-'Skema1-7_2013'!J37)/'Skema1-7_2013'!J37))*100)</f>
        <v>-0.67697911682962031</v>
      </c>
      <c r="L37" s="47"/>
      <c r="N37" s="46"/>
      <c r="O37" s="46"/>
      <c r="P37" s="46"/>
      <c r="Q37" s="39"/>
      <c r="R37" s="39"/>
    </row>
    <row r="38" spans="1:18" ht="13.5" customHeight="1" x14ac:dyDescent="0.2">
      <c r="A38" s="38"/>
      <c r="B38" s="13" t="s">
        <v>20</v>
      </c>
      <c r="C38" s="89">
        <f>IF((ROUND('Skema1-7_2013'!C38,0))=0,"-",((('Skema1-7_2014'!C38-'Skema1-7_2013'!C38)/'Skema1-7_2013'!C38))*100)</f>
        <v>2.0918160451572838</v>
      </c>
      <c r="D38" s="89">
        <f>IF((ROUND('Skema1-7_2013'!D38,0))=0,"-",((('Skema1-7_2014'!D38-'Skema1-7_2013'!D38)/'Skema1-7_2013'!D38))*100)</f>
        <v>-9.9872909132210737</v>
      </c>
      <c r="E38" s="89">
        <f>IF((ROUND('Skema1-7_2013'!E38,0))=0,"-",((('Skema1-7_2014'!E38-'Skema1-7_2013'!E38)/'Skema1-7_2013'!E38))*100)</f>
        <v>7.5336388671097154</v>
      </c>
      <c r="F38" s="89">
        <f>IF((ROUND('Skema1-7_2013'!F38,0))=0,"-",((('Skema1-7_2014'!F38-'Skema1-7_2013'!F38)/'Skema1-7_2013'!F38))*100)</f>
        <v>3.3432309144984904</v>
      </c>
      <c r="G38" s="89">
        <f>IF((ROUND('Skema1-7_2013'!G38,0))=0,"-",((('Skema1-7_2014'!G38-'Skema1-7_2013'!G38)/'Skema1-7_2013'!G38))*100)</f>
        <v>1.3005868269924172</v>
      </c>
      <c r="H38" s="89">
        <f>IF((ROUND('Skema1-7_2013'!H38,0))=0,"-",((('Skema1-7_2014'!H38-'Skema1-7_2013'!H38)/'Skema1-7_2013'!H38))*100)</f>
        <v>-5.5411919750992711</v>
      </c>
      <c r="I38" s="89">
        <f>IF((ROUND('Skema1-7_2013'!I38,0))=0,"-",((('Skema1-7_2014'!I38-'Skema1-7_2013'!I38)/'Skema1-7_2013'!I38))*100)</f>
        <v>83.083091573194892</v>
      </c>
      <c r="J38" s="90">
        <f>IF((ROUND('Skema1-7_2013'!J38,0))=0,"-",((('Skema1-7_2014'!J38-'Skema1-7_2013'!J38)/'Skema1-7_2013'!J38))*100)</f>
        <v>1.5688197633971179</v>
      </c>
      <c r="L38" s="39"/>
      <c r="M38" s="39"/>
      <c r="N38" s="46"/>
      <c r="O38" s="46"/>
      <c r="P38" s="46"/>
      <c r="Q38" s="39"/>
      <c r="R38" s="39"/>
    </row>
    <row r="39" spans="1:18" ht="13.5" customHeight="1" x14ac:dyDescent="0.2">
      <c r="C39" s="25"/>
      <c r="N39" s="39"/>
      <c r="O39" s="39"/>
      <c r="P39" s="39"/>
      <c r="Q39" s="39"/>
      <c r="R39" s="39"/>
    </row>
    <row r="40" spans="1:18" ht="13.5" customHeight="1" x14ac:dyDescent="0.2">
      <c r="D40" s="36"/>
      <c r="E40" s="36"/>
      <c r="N40" s="39"/>
      <c r="O40" s="39"/>
      <c r="P40" s="39"/>
      <c r="Q40" s="39"/>
      <c r="R40" s="39"/>
    </row>
    <row r="41" spans="1:18" ht="13.5" customHeight="1" x14ac:dyDescent="0.2">
      <c r="N41" s="39"/>
      <c r="O41" s="39"/>
      <c r="P41" s="39"/>
      <c r="Q41" s="39"/>
      <c r="R41" s="39"/>
    </row>
    <row r="42" spans="1:18" ht="13.5" customHeight="1" x14ac:dyDescent="0.2">
      <c r="N42" s="39"/>
      <c r="O42" s="39"/>
      <c r="P42" s="39"/>
      <c r="Q42" s="39"/>
      <c r="R42" s="39"/>
    </row>
    <row r="43" spans="1:18" ht="13.5" customHeight="1" x14ac:dyDescent="0.2">
      <c r="N43" s="39"/>
      <c r="O43" s="39"/>
      <c r="P43" s="39"/>
      <c r="Q43" s="39"/>
      <c r="R43" s="39"/>
    </row>
    <row r="44" spans="1:18" ht="13.5" customHeight="1" x14ac:dyDescent="0.2">
      <c r="N44" s="39"/>
      <c r="O44" s="39"/>
      <c r="P44" s="39"/>
      <c r="Q44" s="39"/>
      <c r="R44" s="39"/>
    </row>
    <row r="45" spans="1:18" ht="13.5" customHeight="1" x14ac:dyDescent="0.2">
      <c r="N45" s="39"/>
      <c r="O45" s="39"/>
      <c r="P45" s="39"/>
      <c r="Q45" s="39"/>
      <c r="R45" s="39"/>
    </row>
    <row r="46" spans="1:18" ht="13.5" customHeight="1" x14ac:dyDescent="0.2">
      <c r="N46" s="39"/>
      <c r="O46" s="39"/>
      <c r="P46" s="39"/>
      <c r="Q46" s="39"/>
      <c r="R46" s="39"/>
    </row>
    <row r="47" spans="1:18" x14ac:dyDescent="0.2">
      <c r="N47" s="39"/>
      <c r="O47" s="39"/>
      <c r="P47" s="39"/>
      <c r="Q47" s="39"/>
      <c r="R47" s="39"/>
    </row>
  </sheetData>
  <pageMargins left="0.51181102362204722" right="0.43307086614173229" top="0.51181102362204722" bottom="0.19685039370078741" header="0.23622047244094491" footer="0.23622047244094491"/>
  <pageSetup paperSize="9" scale="64" orientation="landscape" horizontalDpi="300" verticalDpi="300" r:id="rId1"/>
  <headerFooter alignWithMargins="0">
    <oddHeader>&amp;CSide &amp;P /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Normal="100" workbookViewId="0"/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16384" width="9.140625" style="24"/>
  </cols>
  <sheetData>
    <row r="1" spans="1:14" ht="15.75" x14ac:dyDescent="0.25">
      <c r="A1" s="72"/>
    </row>
    <row r="2" spans="1:14" ht="13.5" customHeight="1" x14ac:dyDescent="0.2">
      <c r="A2" s="92" t="s">
        <v>145</v>
      </c>
      <c r="B2" s="39"/>
      <c r="C2" s="28"/>
      <c r="D2" s="38"/>
    </row>
    <row r="3" spans="1:14" ht="13.5" customHeight="1" x14ac:dyDescent="0.2">
      <c r="A3" s="93" t="s">
        <v>44</v>
      </c>
      <c r="B3" s="39"/>
      <c r="C3" s="28"/>
    </row>
    <row r="4" spans="1:14" ht="54" customHeight="1" x14ac:dyDescent="0.2">
      <c r="A4" s="73" t="s">
        <v>12</v>
      </c>
      <c r="B4" s="73" t="s">
        <v>0</v>
      </c>
      <c r="C4" s="12" t="s">
        <v>21</v>
      </c>
      <c r="D4" s="12" t="s">
        <v>22</v>
      </c>
      <c r="E4" s="12" t="s">
        <v>29</v>
      </c>
      <c r="F4" s="12" t="s">
        <v>27</v>
      </c>
      <c r="G4" s="12" t="s">
        <v>28</v>
      </c>
    </row>
    <row r="5" spans="1:14" ht="13.5" customHeight="1" x14ac:dyDescent="0.2">
      <c r="A5" s="74">
        <f>+'(skema1-7_2013 - 13pl)'!A5</f>
        <v>1301</v>
      </c>
      <c r="B5" s="4" t="str">
        <f>+'(skema1-7_2013 - 13pl)'!B5</f>
        <v>Rigshospitalet</v>
      </c>
      <c r="C5" s="99">
        <f>'Skema1-7_2013'!J5</f>
        <v>6654568.9296176862</v>
      </c>
      <c r="D5" s="82">
        <v>257260.26309956572</v>
      </c>
      <c r="E5" s="82">
        <f>C5-D5</f>
        <v>6397308.6665181201</v>
      </c>
      <c r="F5" s="82">
        <v>935456.7115026589</v>
      </c>
      <c r="G5" s="94">
        <f t="shared" ref="G5" si="0">E5-F5</f>
        <v>5461851.955015461</v>
      </c>
      <c r="I5" s="3"/>
      <c r="J5" s="3"/>
      <c r="K5" s="39"/>
      <c r="L5" s="3"/>
      <c r="M5" s="3"/>
      <c r="N5" s="35"/>
    </row>
    <row r="6" spans="1:14" ht="13.5" customHeight="1" x14ac:dyDescent="0.2">
      <c r="A6" s="75">
        <f>+'(skema1-7_2013 - 13pl)'!A6</f>
        <v>1309</v>
      </c>
      <c r="B6" s="7" t="str">
        <f>+'(skema1-7_2013 - 13pl)'!B6</f>
        <v>Bispebjerg og Frederiksberg Hospital</v>
      </c>
      <c r="C6" s="99">
        <f>'Skema1-7_2013'!J6</f>
        <v>2525594.2852497087</v>
      </c>
      <c r="D6" s="82">
        <v>62722.475108934137</v>
      </c>
      <c r="E6" s="82">
        <f t="shared" ref="E6:E30" si="1">C6-D6</f>
        <v>2462871.8101407746</v>
      </c>
      <c r="F6" s="82">
        <v>145154.59942344594</v>
      </c>
      <c r="G6" s="94">
        <f t="shared" ref="G6:G30" si="2">E6-F6</f>
        <v>2317717.2107173288</v>
      </c>
      <c r="I6" s="3"/>
      <c r="J6" s="3"/>
      <c r="K6" s="39"/>
      <c r="L6" s="3"/>
      <c r="M6" s="3"/>
    </row>
    <row r="7" spans="1:14" ht="13.5" customHeight="1" x14ac:dyDescent="0.2">
      <c r="A7" s="75">
        <f>+'(skema1-7_2013 - 13pl)'!A7</f>
        <v>1330</v>
      </c>
      <c r="B7" s="7" t="str">
        <f>+'(skema1-7_2013 - 13pl)'!B7</f>
        <v>Amager og Hvidovre Hospital</v>
      </c>
      <c r="C7" s="99">
        <f>'Skema1-7_2013'!J7</f>
        <v>2667713.2049136474</v>
      </c>
      <c r="D7" s="82">
        <v>60454.88443149181</v>
      </c>
      <c r="E7" s="82">
        <f t="shared" si="1"/>
        <v>2607258.3204821558</v>
      </c>
      <c r="F7" s="82">
        <v>135594.18287644777</v>
      </c>
      <c r="G7" s="94">
        <f t="shared" si="2"/>
        <v>2471664.1376057081</v>
      </c>
      <c r="I7" s="3"/>
      <c r="J7" s="3"/>
      <c r="K7" s="39"/>
      <c r="L7" s="3"/>
      <c r="M7" s="95"/>
    </row>
    <row r="8" spans="1:14" ht="13.5" customHeight="1" x14ac:dyDescent="0.2">
      <c r="A8" s="75">
        <f>+'(skema1-7_2013 - 13pl)'!A8</f>
        <v>1501</v>
      </c>
      <c r="B8" s="7" t="str">
        <f>+'(skema1-7_2013 - 13pl)'!B8</f>
        <v>Gentofte Hospital</v>
      </c>
      <c r="C8" s="99">
        <f>'Skema1-7_2013'!J8</f>
        <v>1314817.4957093806</v>
      </c>
      <c r="D8" s="82">
        <v>20066.153849871484</v>
      </c>
      <c r="E8" s="82">
        <f t="shared" si="1"/>
        <v>1294751.341859509</v>
      </c>
      <c r="F8" s="82">
        <v>90574.22004740985</v>
      </c>
      <c r="G8" s="94">
        <f t="shared" si="2"/>
        <v>1204177.1218120991</v>
      </c>
      <c r="I8" s="3"/>
      <c r="J8" s="3"/>
      <c r="K8" s="39"/>
      <c r="L8" s="3"/>
      <c r="M8" s="3"/>
    </row>
    <row r="9" spans="1:14" ht="13.5" customHeight="1" x14ac:dyDescent="0.2">
      <c r="A9" s="75">
        <f>+'(skema1-7_2013 - 13pl)'!A9</f>
        <v>1502</v>
      </c>
      <c r="B9" s="7" t="str">
        <f>+'(skema1-7_2013 - 13pl)'!B9</f>
        <v>Glostrup Hospital</v>
      </c>
      <c r="C9" s="99">
        <f>'Skema1-7_2013'!J9</f>
        <v>1827085.455112569</v>
      </c>
      <c r="D9" s="82">
        <v>46707.958371000022</v>
      </c>
      <c r="E9" s="82">
        <f t="shared" si="1"/>
        <v>1780377.4967415689</v>
      </c>
      <c r="F9" s="82">
        <v>279519.66822031885</v>
      </c>
      <c r="G9" s="94">
        <f t="shared" si="2"/>
        <v>1500857.82852125</v>
      </c>
      <c r="I9" s="3"/>
      <c r="J9" s="3"/>
      <c r="K9" s="39"/>
      <c r="L9" s="3"/>
      <c r="M9" s="3"/>
    </row>
    <row r="10" spans="1:14" ht="13.5" customHeight="1" x14ac:dyDescent="0.2">
      <c r="A10" s="75">
        <f>+'(skema1-7_2013 - 13pl)'!A10</f>
        <v>1516</v>
      </c>
      <c r="B10" s="7" t="str">
        <f>+'(skema1-7_2013 - 13pl)'!B10</f>
        <v>Herlev Hospital</v>
      </c>
      <c r="C10" s="99">
        <f>'Skema1-7_2013'!J10</f>
        <v>3387665.664187972</v>
      </c>
      <c r="D10" s="82">
        <v>116954.34281147856</v>
      </c>
      <c r="E10" s="82">
        <f t="shared" si="1"/>
        <v>3270711.3213764932</v>
      </c>
      <c r="F10" s="82">
        <v>381825.58954143681</v>
      </c>
      <c r="G10" s="94">
        <f t="shared" si="2"/>
        <v>2888885.7318350566</v>
      </c>
      <c r="I10" s="3"/>
      <c r="J10" s="3"/>
      <c r="K10" s="39"/>
      <c r="L10" s="3"/>
      <c r="M10" s="3"/>
    </row>
    <row r="11" spans="1:14" ht="13.5" customHeight="1" x14ac:dyDescent="0.2">
      <c r="A11" s="75">
        <f>+'(skema1-7_2013 - 13pl)'!A11</f>
        <v>2000</v>
      </c>
      <c r="B11" s="7" t="str">
        <f>+'(skema1-7_2013 - 13pl)'!B11</f>
        <v>Nordsjællands Hospital</v>
      </c>
      <c r="C11" s="99">
        <f>'Skema1-7_2013'!J11</f>
        <v>2425679.4149399889</v>
      </c>
      <c r="D11" s="82">
        <v>33409.202699999994</v>
      </c>
      <c r="E11" s="82">
        <f t="shared" si="1"/>
        <v>2392270.2122399891</v>
      </c>
      <c r="F11" s="82">
        <v>113660.06818033342</v>
      </c>
      <c r="G11" s="94">
        <f t="shared" si="2"/>
        <v>2278610.1440596557</v>
      </c>
      <c r="I11" s="3"/>
      <c r="J11" s="3"/>
      <c r="K11" s="39"/>
      <c r="L11" s="3"/>
      <c r="M11" s="3"/>
    </row>
    <row r="12" spans="1:14" ht="13.5" customHeight="1" x14ac:dyDescent="0.2">
      <c r="A12" s="75">
        <f>+'(skema1-7_2013 - 13pl)'!A12</f>
        <v>4001</v>
      </c>
      <c r="B12" s="7" t="str">
        <f>+'(skema1-7_2013 - 13pl)'!B12</f>
        <v>Bornholms Hospital</v>
      </c>
      <c r="C12" s="99">
        <f>'Skema1-7_2013'!J12</f>
        <v>396054.99816617521</v>
      </c>
      <c r="D12" s="82">
        <v>0</v>
      </c>
      <c r="E12" s="82">
        <f t="shared" si="1"/>
        <v>396054.99816617521</v>
      </c>
      <c r="F12" s="82">
        <v>24551.273264250281</v>
      </c>
      <c r="G12" s="94">
        <f t="shared" si="2"/>
        <v>371503.72490192496</v>
      </c>
      <c r="I12" s="3"/>
      <c r="J12" s="3"/>
      <c r="K12" s="39"/>
      <c r="L12" s="3"/>
      <c r="M12" s="3"/>
    </row>
    <row r="13" spans="1:14" ht="13.5" customHeight="1" x14ac:dyDescent="0.2">
      <c r="A13" s="75">
        <f>+'(skema1-7_2013 - 13pl)'!A13</f>
        <v>3810</v>
      </c>
      <c r="B13" s="7" t="str">
        <f>+'(skema1-7_2013 - 13pl)'!B13</f>
        <v>Roskilde og Køge sygehuse</v>
      </c>
      <c r="C13" s="99">
        <f>'Skema1-7_2013'!J13</f>
        <v>2829211.2418079996</v>
      </c>
      <c r="D13" s="82">
        <v>49628.978999999992</v>
      </c>
      <c r="E13" s="82">
        <f t="shared" si="1"/>
        <v>2779582.2628079997</v>
      </c>
      <c r="F13" s="82">
        <v>354790.34706109372</v>
      </c>
      <c r="G13" s="94">
        <f t="shared" si="2"/>
        <v>2424791.9157469058</v>
      </c>
      <c r="I13" s="3"/>
      <c r="J13" s="3"/>
      <c r="K13" s="39"/>
      <c r="L13" s="3"/>
      <c r="M13" s="3"/>
    </row>
    <row r="14" spans="1:14" ht="13.5" customHeight="1" x14ac:dyDescent="0.2">
      <c r="A14" s="75">
        <f>+'(skema1-7_2013 - 13pl)'!A14</f>
        <v>3820</v>
      </c>
      <c r="B14" s="7" t="str">
        <f>+'(skema1-7_2013 - 13pl)'!B14</f>
        <v>Holbæk Sygehus</v>
      </c>
      <c r="C14" s="99">
        <f>'Skema1-7_2013'!J14</f>
        <v>1095538.22477343</v>
      </c>
      <c r="D14" s="82">
        <v>17308.32</v>
      </c>
      <c r="E14" s="82">
        <f t="shared" si="1"/>
        <v>1078229.90477343</v>
      </c>
      <c r="F14" s="82">
        <v>69679.043070757994</v>
      </c>
      <c r="G14" s="94">
        <f t="shared" si="2"/>
        <v>1008550.861702672</v>
      </c>
      <c r="I14" s="3"/>
      <c r="J14" s="3"/>
      <c r="K14" s="39"/>
      <c r="L14" s="3"/>
      <c r="M14" s="3"/>
    </row>
    <row r="15" spans="1:14" ht="13.5" customHeight="1" x14ac:dyDescent="0.2">
      <c r="A15" s="75">
        <f>+'(skema1-7_2013 - 13pl)'!A15</f>
        <v>3830</v>
      </c>
      <c r="B15" s="7" t="str">
        <f>+'(skema1-7_2013 - 13pl)'!B15</f>
        <v>Næstved, Slagelse og Ringsted sygehuse</v>
      </c>
      <c r="C15" s="99">
        <f>'Skema1-7_2013'!J15</f>
        <v>2593328.3108579991</v>
      </c>
      <c r="D15" s="82">
        <v>25834.082999999999</v>
      </c>
      <c r="E15" s="82">
        <f t="shared" si="1"/>
        <v>2567494.227857999</v>
      </c>
      <c r="F15" s="82">
        <v>182608.37894990033</v>
      </c>
      <c r="G15" s="94">
        <f t="shared" si="2"/>
        <v>2384885.8489080989</v>
      </c>
      <c r="I15" s="3"/>
      <c r="J15" s="3"/>
      <c r="K15" s="39"/>
      <c r="L15" s="3"/>
      <c r="M15" s="3"/>
    </row>
    <row r="16" spans="1:14" ht="13.5" customHeight="1" x14ac:dyDescent="0.2">
      <c r="A16" s="75">
        <f>+'(skema1-7_2013 - 13pl)'!A16</f>
        <v>3840</v>
      </c>
      <c r="B16" s="7" t="str">
        <f>+'(skema1-7_2013 - 13pl)'!B16</f>
        <v>Nykøbing Sygehus</v>
      </c>
      <c r="C16" s="99">
        <f>'Skema1-7_2013'!J16</f>
        <v>813481.86734864989</v>
      </c>
      <c r="D16" s="82">
        <v>7479.3779999999997</v>
      </c>
      <c r="E16" s="82">
        <f t="shared" si="1"/>
        <v>806002.48934864986</v>
      </c>
      <c r="F16" s="82">
        <v>21989.026911939283</v>
      </c>
      <c r="G16" s="94">
        <f t="shared" si="2"/>
        <v>784013.4624367106</v>
      </c>
      <c r="I16" s="3"/>
      <c r="J16" s="3"/>
      <c r="K16" s="39"/>
      <c r="L16" s="3"/>
      <c r="M16" s="3"/>
    </row>
    <row r="17" spans="1:13" ht="13.5" customHeight="1" x14ac:dyDescent="0.2">
      <c r="A17" s="75">
        <f>+'(skema1-7_2013 - 13pl)'!A17</f>
        <v>4202</v>
      </c>
      <c r="B17" s="7" t="str">
        <f>+'(skema1-7_2013 - 13pl)'!B17</f>
        <v>Odense Universitetshospital</v>
      </c>
      <c r="C17" s="99">
        <f>'Skema1-7_2013'!J17</f>
        <v>6347401.7400000002</v>
      </c>
      <c r="D17" s="82">
        <v>222308.78999999998</v>
      </c>
      <c r="E17" s="82">
        <f t="shared" si="1"/>
        <v>6125092.9500000002</v>
      </c>
      <c r="F17" s="82">
        <v>589167.89249384799</v>
      </c>
      <c r="G17" s="94">
        <f t="shared" si="2"/>
        <v>5535925.0575061524</v>
      </c>
      <c r="I17" s="3"/>
      <c r="J17" s="3"/>
      <c r="K17" s="39"/>
      <c r="L17" s="3"/>
      <c r="M17" s="3"/>
    </row>
    <row r="18" spans="1:13" ht="13.5" customHeight="1" x14ac:dyDescent="0.2">
      <c r="A18" s="75">
        <f>+'(skema1-7_2013 - 13pl)'!A18</f>
        <v>5000</v>
      </c>
      <c r="B18" s="7" t="str">
        <f>+'(skema1-7_2013 - 13pl)'!B18</f>
        <v>Sygehus Sønderjylland</v>
      </c>
      <c r="C18" s="99">
        <f>'Skema1-7_2013'!J18</f>
        <v>1792886.1689999998</v>
      </c>
      <c r="D18" s="82">
        <v>6840.4259999999995</v>
      </c>
      <c r="E18" s="82">
        <f t="shared" si="1"/>
        <v>1786045.7429999998</v>
      </c>
      <c r="F18" s="82">
        <v>107624.58342879127</v>
      </c>
      <c r="G18" s="94">
        <f t="shared" si="2"/>
        <v>1678421.1595712085</v>
      </c>
      <c r="I18" s="3"/>
      <c r="J18" s="3"/>
      <c r="K18" s="39"/>
      <c r="L18" s="3"/>
      <c r="M18" s="3"/>
    </row>
    <row r="19" spans="1:13" ht="13.5" customHeight="1" x14ac:dyDescent="0.2">
      <c r="A19" s="75">
        <f>+'(skema1-7_2013 - 13pl)'!A19</f>
        <v>5501</v>
      </c>
      <c r="B19" s="7" t="str">
        <f>+'(skema1-7_2013 - 13pl)'!B19</f>
        <v>Sydvestjysk Sygehus</v>
      </c>
      <c r="C19" s="99">
        <f>'Skema1-7_2013'!J19</f>
        <v>1763024.2619999999</v>
      </c>
      <c r="D19" s="82">
        <v>8577.3239999999987</v>
      </c>
      <c r="E19" s="82">
        <f t="shared" si="1"/>
        <v>1754446.9379999998</v>
      </c>
      <c r="F19" s="82">
        <v>139134.96324358808</v>
      </c>
      <c r="G19" s="94">
        <f t="shared" si="2"/>
        <v>1615311.9747564117</v>
      </c>
      <c r="I19" s="3"/>
      <c r="J19" s="3"/>
      <c r="K19" s="39"/>
      <c r="L19" s="3"/>
      <c r="M19" s="3"/>
    </row>
    <row r="20" spans="1:13" ht="13.5" customHeight="1" x14ac:dyDescent="0.2">
      <c r="A20" s="75">
        <f>+'(skema1-7_2013 - 13pl)'!A20</f>
        <v>6007</v>
      </c>
      <c r="B20" s="7" t="str">
        <f>+'(skema1-7_2013 - 13pl)'!B20</f>
        <v>Fredericia og Kolding sygehuse</v>
      </c>
      <c r="C20" s="99">
        <f>'Skema1-7_2013'!J20</f>
        <v>1425468.4019122066</v>
      </c>
      <c r="D20" s="82">
        <v>25061.780099999996</v>
      </c>
      <c r="E20" s="82">
        <f t="shared" si="1"/>
        <v>1400406.6218122065</v>
      </c>
      <c r="F20" s="82">
        <v>68614.489709500922</v>
      </c>
      <c r="G20" s="94">
        <f t="shared" si="2"/>
        <v>1331792.1321027055</v>
      </c>
      <c r="I20" s="3"/>
      <c r="J20" s="3"/>
      <c r="K20" s="39"/>
      <c r="L20" s="3"/>
      <c r="M20" s="3"/>
    </row>
    <row r="21" spans="1:13" ht="13.5" customHeight="1" x14ac:dyDescent="0.2">
      <c r="A21" s="75">
        <f>+'(skema1-7_2013 - 13pl)'!A21</f>
        <v>6008</v>
      </c>
      <c r="B21" s="7" t="str">
        <f>+'(skema1-7_2013 - 13pl)'!B21</f>
        <v>Vejle-Give-Middelfart sygehuse</v>
      </c>
      <c r="C21" s="99">
        <f>'Skema1-7_2013'!J21</f>
        <v>1654467.7847242267</v>
      </c>
      <c r="D21" s="82">
        <v>59404.236899999989</v>
      </c>
      <c r="E21" s="82">
        <f t="shared" si="1"/>
        <v>1595063.5478242268</v>
      </c>
      <c r="F21" s="82">
        <v>245881.42151994622</v>
      </c>
      <c r="G21" s="94">
        <f t="shared" si="2"/>
        <v>1349182.1263042805</v>
      </c>
      <c r="I21" s="3"/>
      <c r="J21" s="3"/>
      <c r="K21" s="39"/>
      <c r="L21" s="3"/>
      <c r="M21" s="3"/>
    </row>
    <row r="22" spans="1:13" ht="13.5" customHeight="1" x14ac:dyDescent="0.2">
      <c r="A22" s="75">
        <f>+'(skema1-7_2013 - 13pl)'!A22</f>
        <v>6013</v>
      </c>
      <c r="B22" s="7" t="str">
        <f>+'(skema1-7_2013 - 13pl)'!B22</f>
        <v>De Vestdanske Friklinikker, Give</v>
      </c>
      <c r="C22" s="99">
        <f>'Skema1-7_2013'!J22</f>
        <v>87128.990999999995</v>
      </c>
      <c r="D22" s="82">
        <v>0</v>
      </c>
      <c r="E22" s="82">
        <f t="shared" si="1"/>
        <v>87128.990999999995</v>
      </c>
      <c r="F22" s="82">
        <v>283.19889359999996</v>
      </c>
      <c r="G22" s="94">
        <f t="shared" si="2"/>
        <v>86845.792106399997</v>
      </c>
      <c r="I22" s="3"/>
      <c r="J22" s="3"/>
      <c r="K22" s="39"/>
      <c r="L22" s="3"/>
      <c r="M22" s="3"/>
    </row>
    <row r="23" spans="1:13" ht="13.5" customHeight="1" x14ac:dyDescent="0.2">
      <c r="A23" s="75">
        <f>+'(skema1-7_2013 - 13pl)'!A23</f>
        <v>6006</v>
      </c>
      <c r="B23" s="7" t="str">
        <f>+'(skema1-7_2013 - 13pl)'!B23</f>
        <v>Hospitalenheden Horsens</v>
      </c>
      <c r="C23" s="99">
        <f>'Skema1-7_2013'!J23</f>
        <v>978342.67799999984</v>
      </c>
      <c r="D23" s="82">
        <v>6481.5209999999997</v>
      </c>
      <c r="E23" s="82">
        <f t="shared" si="1"/>
        <v>971861.15699999989</v>
      </c>
      <c r="F23" s="82">
        <v>30874.76623097347</v>
      </c>
      <c r="G23" s="94">
        <f t="shared" si="2"/>
        <v>940986.39076902648</v>
      </c>
      <c r="I23" s="3"/>
      <c r="J23" s="3"/>
      <c r="K23" s="39"/>
      <c r="L23" s="3"/>
      <c r="M23" s="3"/>
    </row>
    <row r="24" spans="1:13" ht="13.5" customHeight="1" x14ac:dyDescent="0.2">
      <c r="A24" s="75">
        <f>+'(skema1-7_2013 - 13pl)'!A24</f>
        <v>6650</v>
      </c>
      <c r="B24" s="7" t="str">
        <f>+'(skema1-7_2013 - 13pl)'!B24</f>
        <v>Hospitalsenheden Vest</v>
      </c>
      <c r="C24" s="99">
        <f>'Skema1-7_2013'!J24</f>
        <v>2102709.6319999998</v>
      </c>
      <c r="D24" s="82">
        <v>20341.32</v>
      </c>
      <c r="E24" s="82">
        <f t="shared" si="1"/>
        <v>2082368.3119999997</v>
      </c>
      <c r="F24" s="82">
        <v>190819.10640124037</v>
      </c>
      <c r="G24" s="94">
        <f t="shared" si="2"/>
        <v>1891549.2055987592</v>
      </c>
      <c r="I24" s="3"/>
      <c r="J24" s="3"/>
      <c r="K24" s="39"/>
      <c r="L24" s="3"/>
      <c r="M24" s="3"/>
    </row>
    <row r="25" spans="1:13" ht="13.5" customHeight="1" x14ac:dyDescent="0.2">
      <c r="A25" s="75">
        <f>+'(skema1-7_2013 - 13pl)'!A25</f>
        <v>6620</v>
      </c>
      <c r="B25" s="7" t="str">
        <f>+'(skema1-7_2013 - 13pl)'!B25</f>
        <v>Aarhus Universitetshospital</v>
      </c>
      <c r="C25" s="99">
        <f>'Skema1-7_2013'!J25</f>
        <v>6978041.9804249983</v>
      </c>
      <c r="D25" s="82">
        <v>265878.84599999996</v>
      </c>
      <c r="E25" s="82">
        <f t="shared" si="1"/>
        <v>6712163.1344249984</v>
      </c>
      <c r="F25" s="82">
        <v>923565.38790571131</v>
      </c>
      <c r="G25" s="94">
        <f t="shared" si="2"/>
        <v>5788597.7465192871</v>
      </c>
      <c r="I25" s="3"/>
      <c r="J25" s="3"/>
      <c r="K25" s="39"/>
      <c r="L25" s="3"/>
      <c r="M25" s="3"/>
    </row>
    <row r="26" spans="1:13" ht="13.5" customHeight="1" x14ac:dyDescent="0.2">
      <c r="A26" s="75">
        <f>+'(skema1-7_2013 - 13pl)'!A26</f>
        <v>7005</v>
      </c>
      <c r="B26" s="7" t="str">
        <f>+'(skema1-7_2013 - 13pl)'!B26</f>
        <v>Regionshospitalet Randers</v>
      </c>
      <c r="C26" s="99">
        <f>'Skema1-7_2013'!J26</f>
        <v>1027731.0389999999</v>
      </c>
      <c r="D26" s="82">
        <v>666.24899999999991</v>
      </c>
      <c r="E26" s="82">
        <f t="shared" si="1"/>
        <v>1027064.7899999999</v>
      </c>
      <c r="F26" s="82">
        <v>36575.155490361118</v>
      </c>
      <c r="G26" s="94">
        <f t="shared" si="2"/>
        <v>990489.63450963877</v>
      </c>
      <c r="I26" s="3"/>
      <c r="J26" s="3"/>
      <c r="K26" s="39"/>
      <c r="L26" s="3"/>
      <c r="M26" s="3"/>
    </row>
    <row r="27" spans="1:13" ht="13.5" customHeight="1" x14ac:dyDescent="0.2">
      <c r="A27" s="75">
        <f>+'(skema1-7_2013 - 13pl)'!A27</f>
        <v>6630</v>
      </c>
      <c r="B27" s="7" t="str">
        <f>+'(skema1-7_2013 - 13pl)'!B27</f>
        <v>Hospitalsenhed Midt</v>
      </c>
      <c r="C27" s="99">
        <f>'Skema1-7_2013'!J27</f>
        <v>2514891.8190000001</v>
      </c>
      <c r="D27" s="82">
        <v>39812.168999999994</v>
      </c>
      <c r="E27" s="82">
        <f t="shared" si="1"/>
        <v>2475079.6500000004</v>
      </c>
      <c r="F27" s="82">
        <v>140245.89518630705</v>
      </c>
      <c r="G27" s="94">
        <f t="shared" si="2"/>
        <v>2334833.7548136935</v>
      </c>
      <c r="I27" s="3"/>
      <c r="J27" s="3"/>
      <c r="K27" s="39"/>
      <c r="L27" s="3"/>
      <c r="M27" s="3"/>
    </row>
    <row r="28" spans="1:13" ht="13.5" customHeight="1" x14ac:dyDescent="0.2">
      <c r="A28" s="75">
        <f>+'(skema1-7_2013 - 13pl)'!A28</f>
        <v>7603</v>
      </c>
      <c r="B28" s="7" t="str">
        <f>+'(skema1-7_2013 - 13pl)'!B28</f>
        <v>Sygehus Thy - Mors</v>
      </c>
      <c r="C28" s="99">
        <f>'Skema1-7_2013'!J28</f>
        <v>412039.92479999992</v>
      </c>
      <c r="D28" s="82">
        <v>0</v>
      </c>
      <c r="E28" s="82">
        <f t="shared" si="1"/>
        <v>412039.92479999992</v>
      </c>
      <c r="F28" s="82">
        <v>6552.3013652572799</v>
      </c>
      <c r="G28" s="94">
        <f t="shared" si="2"/>
        <v>405487.62343474262</v>
      </c>
      <c r="I28" s="3"/>
      <c r="J28" s="3"/>
      <c r="K28" s="39"/>
      <c r="L28" s="3"/>
      <c r="M28" s="3"/>
    </row>
    <row r="29" spans="1:13" ht="13.5" customHeight="1" x14ac:dyDescent="0.2">
      <c r="A29" s="75">
        <f>+'(skema1-7_2013 - 13pl)'!A29</f>
        <v>8001</v>
      </c>
      <c r="B29" s="7" t="str">
        <f>+'(skema1-7_2013 - 13pl)'!B29</f>
        <v>Aalborg Universitetshospital</v>
      </c>
      <c r="C29" s="99">
        <f>'Skema1-7_2013'!J29</f>
        <v>4399961.9608019991</v>
      </c>
      <c r="D29" s="82">
        <v>127080.50208599999</v>
      </c>
      <c r="E29" s="82">
        <f t="shared" si="1"/>
        <v>4272881.4587159995</v>
      </c>
      <c r="F29" s="82">
        <v>344031.62560469337</v>
      </c>
      <c r="G29" s="94">
        <f t="shared" si="2"/>
        <v>3928849.8331113062</v>
      </c>
      <c r="I29" s="3"/>
      <c r="J29" s="3"/>
      <c r="K29" s="39"/>
      <c r="L29" s="3"/>
      <c r="M29" s="3"/>
    </row>
    <row r="30" spans="1:13" ht="13.5" customHeight="1" x14ac:dyDescent="0.2">
      <c r="A30" s="75">
        <f>+'(skema1-7_2013 - 13pl)'!A30</f>
        <v>8003</v>
      </c>
      <c r="B30" s="7" t="str">
        <f>+'(skema1-7_2013 - 13pl)'!B30</f>
        <v>Sygehus Vendsyssel</v>
      </c>
      <c r="C30" s="99">
        <f>'Skema1-7_2013'!J30</f>
        <v>964820.29115099995</v>
      </c>
      <c r="D30" s="82">
        <v>2306.4974219999999</v>
      </c>
      <c r="E30" s="82">
        <f t="shared" si="1"/>
        <v>962513.79372899991</v>
      </c>
      <c r="F30" s="82">
        <v>36470.350574139957</v>
      </c>
      <c r="G30" s="94">
        <f t="shared" si="2"/>
        <v>926043.44315485994</v>
      </c>
      <c r="I30" s="3"/>
      <c r="J30" s="3"/>
      <c r="K30" s="39"/>
      <c r="L30" s="3"/>
      <c r="M30" s="3"/>
    </row>
    <row r="31" spans="1:13" ht="13.5" customHeight="1" x14ac:dyDescent="0.2">
      <c r="A31" s="13"/>
      <c r="B31" s="13" t="s">
        <v>20</v>
      </c>
      <c r="C31" s="83">
        <f>SUM(C5:C30)</f>
        <v>60979655.766499631</v>
      </c>
      <c r="D31" s="83">
        <f>SUM(D5:D30)</f>
        <v>1482585.7018803416</v>
      </c>
      <c r="E31" s="83">
        <f>SUM(E5:E30)</f>
        <v>59497070.064619288</v>
      </c>
      <c r="F31" s="83">
        <f>SUM(F5:F30)</f>
        <v>5595244.2470979514</v>
      </c>
      <c r="G31" s="96">
        <f>SUM(G5:G30)</f>
        <v>53901825.817521341</v>
      </c>
      <c r="I31" s="3"/>
      <c r="J31" s="3"/>
      <c r="K31" s="39"/>
      <c r="L31" s="3"/>
      <c r="M31" s="3"/>
    </row>
    <row r="32" spans="1:13" ht="13.5" customHeight="1" x14ac:dyDescent="0.2">
      <c r="I32" s="39"/>
      <c r="J32" s="39"/>
      <c r="K32" s="39"/>
      <c r="L32" s="3"/>
      <c r="M32" s="3"/>
    </row>
    <row r="33" spans="1:7" ht="13.5" customHeight="1" x14ac:dyDescent="0.2">
      <c r="B33" s="17" t="s">
        <v>34</v>
      </c>
      <c r="C33" s="18">
        <f>SUM(C5:C12)</f>
        <v>21199179.447897125</v>
      </c>
      <c r="D33" s="18">
        <f>SUM(D5:D12)</f>
        <v>597575.28037234175</v>
      </c>
      <c r="E33" s="18">
        <f>SUM(E5:E12)</f>
        <v>20601604.167524785</v>
      </c>
      <c r="F33" s="18">
        <f>SUM(F5:F12)</f>
        <v>2106336.3130563018</v>
      </c>
      <c r="G33" s="6">
        <f>SUM(G5:G12)</f>
        <v>18495267.854468483</v>
      </c>
    </row>
    <row r="34" spans="1:7" ht="13.5" customHeight="1" x14ac:dyDescent="0.2">
      <c r="B34" s="19" t="s">
        <v>35</v>
      </c>
      <c r="C34" s="5">
        <f>SUM(C13:C16)</f>
        <v>7331559.644788078</v>
      </c>
      <c r="D34" s="5">
        <f>SUM(D13:D16)</f>
        <v>100250.76</v>
      </c>
      <c r="E34" s="5">
        <f>SUM(E13:E16)</f>
        <v>7231308.8847880792</v>
      </c>
      <c r="F34" s="5">
        <f>SUM(F13:F16)</f>
        <v>629066.79599369131</v>
      </c>
      <c r="G34" s="8">
        <f>SUM(G13:G16)</f>
        <v>6602242.0887943869</v>
      </c>
    </row>
    <row r="35" spans="1:7" ht="13.5" customHeight="1" x14ac:dyDescent="0.2">
      <c r="B35" s="19" t="s">
        <v>36</v>
      </c>
      <c r="C35" s="5">
        <f>SUM(C17:C22)</f>
        <v>13070377.348636433</v>
      </c>
      <c r="D35" s="5">
        <f>SUM(D17:D22)</f>
        <v>322192.55699999991</v>
      </c>
      <c r="E35" s="5">
        <f>SUM(E17:E22)</f>
        <v>12748184.791636432</v>
      </c>
      <c r="F35" s="5">
        <f>SUM(F17:F22)</f>
        <v>1150706.5492892745</v>
      </c>
      <c r="G35" s="8">
        <f>SUM(G17:G22)</f>
        <v>11597478.242347158</v>
      </c>
    </row>
    <row r="36" spans="1:7" ht="13.5" customHeight="1" x14ac:dyDescent="0.2">
      <c r="B36" s="19" t="s">
        <v>37</v>
      </c>
      <c r="C36" s="5">
        <f>SUM(C23:C27)</f>
        <v>13601717.148425</v>
      </c>
      <c r="D36" s="5">
        <f>SUM(D23:D27)</f>
        <v>333180.10499999998</v>
      </c>
      <c r="E36" s="5">
        <f>SUM(E23:E27)</f>
        <v>13268537.043424997</v>
      </c>
      <c r="F36" s="5">
        <f>SUM(F23:F27)</f>
        <v>1322080.3112145935</v>
      </c>
      <c r="G36" s="8">
        <f>SUM(G23:G27)</f>
        <v>11946456.732210405</v>
      </c>
    </row>
    <row r="37" spans="1:7" ht="13.5" customHeight="1" x14ac:dyDescent="0.2">
      <c r="B37" s="20" t="s">
        <v>38</v>
      </c>
      <c r="C37" s="10">
        <f>+SUM(C28:C30)</f>
        <v>5776822.1767529994</v>
      </c>
      <c r="D37" s="10">
        <f>+SUM(D28:D30)</f>
        <v>129386.99950799999</v>
      </c>
      <c r="E37" s="10">
        <f>+SUM(E28:E30)</f>
        <v>5647435.1772449994</v>
      </c>
      <c r="F37" s="10">
        <f>+SUM(F28:F30)</f>
        <v>387054.27754409064</v>
      </c>
      <c r="G37" s="21">
        <f>+SUM(G28:G30)</f>
        <v>5260380.8997009089</v>
      </c>
    </row>
    <row r="38" spans="1:7" ht="13.5" customHeight="1" x14ac:dyDescent="0.2">
      <c r="B38" s="13" t="s">
        <v>20</v>
      </c>
      <c r="C38" s="22">
        <f>SUM(C33:C37)</f>
        <v>60979655.766499639</v>
      </c>
      <c r="D38" s="97">
        <f>SUM(D33:D37)</f>
        <v>1482585.7018803416</v>
      </c>
      <c r="E38" s="97">
        <f>SUM(E33:E37)</f>
        <v>59497070.064619295</v>
      </c>
      <c r="F38" s="97">
        <f>SUM(F33:F37)</f>
        <v>5595244.2470979514</v>
      </c>
      <c r="G38" s="98">
        <f>SUM(G33:G37)</f>
        <v>53901825.817521341</v>
      </c>
    </row>
    <row r="39" spans="1:7" ht="13.5" customHeight="1" x14ac:dyDescent="0.2"/>
    <row r="40" spans="1:7" ht="13.5" customHeight="1" x14ac:dyDescent="0.2"/>
    <row r="41" spans="1:7" ht="13.5" customHeight="1" x14ac:dyDescent="0.2"/>
    <row r="42" spans="1:7" ht="13.5" customHeight="1" x14ac:dyDescent="0.2"/>
    <row r="43" spans="1:7" ht="13.5" customHeight="1" x14ac:dyDescent="0.2">
      <c r="A43" s="77"/>
      <c r="B43" s="39"/>
      <c r="C43" s="28"/>
      <c r="D43" s="39"/>
      <c r="G43" s="24" t="s">
        <v>140</v>
      </c>
    </row>
    <row r="44" spans="1:7" ht="13.5" customHeight="1" x14ac:dyDescent="0.2">
      <c r="A44" s="77"/>
      <c r="B44" s="3"/>
      <c r="C44" s="3"/>
      <c r="D44" s="3"/>
    </row>
    <row r="45" spans="1:7" ht="13.5" customHeight="1" x14ac:dyDescent="0.2">
      <c r="A45" s="77"/>
      <c r="B45" s="3"/>
      <c r="C45" s="3"/>
      <c r="D45" s="3"/>
    </row>
    <row r="46" spans="1:7" ht="13.5" customHeight="1" x14ac:dyDescent="0.2">
      <c r="A46" s="77"/>
      <c r="B46" s="3"/>
      <c r="C46" s="3"/>
      <c r="D46" s="3"/>
    </row>
    <row r="47" spans="1:7" x14ac:dyDescent="0.2">
      <c r="A47" s="77"/>
      <c r="B47" s="3"/>
      <c r="C47" s="3"/>
      <c r="D47" s="3"/>
    </row>
    <row r="48" spans="1:7" x14ac:dyDescent="0.2">
      <c r="A48" s="77"/>
      <c r="B48" s="3"/>
      <c r="C48" s="3"/>
      <c r="D48" s="3"/>
    </row>
  </sheetData>
  <pageMargins left="0.51181102362204722" right="0.43307086614173229" top="0.51181102362204722" bottom="0.19685039370078741" header="0.23622047244094491" footer="0.23622047244094491"/>
  <pageSetup paperSize="9" scale="74" orientation="landscape" cellComments="asDisplayed" horizontalDpi="300" verticalDpi="300" r:id="rId1"/>
  <headerFooter alignWithMargins="0">
    <oddHeader>&amp;CSide &amp;P / &amp;N</oddHeader>
  </headerFooter>
  <ignoredErrors>
    <ignoredError sqref="D33:F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/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8" width="10.7109375" style="24" bestFit="1" customWidth="1"/>
    <col min="9" max="16384" width="9.140625" style="24"/>
  </cols>
  <sheetData>
    <row r="1" spans="1:13" ht="15.75" x14ac:dyDescent="0.25">
      <c r="A1" s="72"/>
    </row>
    <row r="2" spans="1:13" ht="13.5" customHeight="1" x14ac:dyDescent="0.2">
      <c r="A2" s="92" t="s">
        <v>146</v>
      </c>
      <c r="B2" s="39"/>
      <c r="C2" s="28"/>
      <c r="D2" s="38"/>
    </row>
    <row r="3" spans="1:13" ht="13.5" customHeight="1" x14ac:dyDescent="0.2">
      <c r="A3" s="93" t="s">
        <v>45</v>
      </c>
      <c r="B3" s="39"/>
      <c r="C3" s="28"/>
    </row>
    <row r="4" spans="1:13" ht="54" customHeight="1" x14ac:dyDescent="0.2">
      <c r="A4" s="73" t="s">
        <v>12</v>
      </c>
      <c r="B4" s="73" t="s">
        <v>0</v>
      </c>
      <c r="C4" s="12" t="s">
        <v>21</v>
      </c>
      <c r="D4" s="12" t="s">
        <v>22</v>
      </c>
      <c r="E4" s="12" t="s">
        <v>29</v>
      </c>
      <c r="F4" s="12" t="s">
        <v>27</v>
      </c>
      <c r="G4" s="12" t="s">
        <v>28</v>
      </c>
      <c r="I4" s="39"/>
    </row>
    <row r="5" spans="1:13" ht="13.5" customHeight="1" x14ac:dyDescent="0.2">
      <c r="A5" s="74">
        <f>+'(skema1-7_2013 - 13pl)'!A5</f>
        <v>1301</v>
      </c>
      <c r="B5" s="4" t="str">
        <f>+'(skema1-7_2013 - 13pl)'!B5</f>
        <v>Rigshospitalet</v>
      </c>
      <c r="C5" s="99">
        <f>+'Skema1-7_2014'!J5</f>
        <v>6907930.9979502279</v>
      </c>
      <c r="D5" s="82">
        <v>268151.15907062375</v>
      </c>
      <c r="E5" s="82">
        <f>C5-D5</f>
        <v>6639779.8388796039</v>
      </c>
      <c r="F5" s="82">
        <v>999256.20528074424</v>
      </c>
      <c r="G5" s="94">
        <f>E5-F5</f>
        <v>5640523.6335988594</v>
      </c>
      <c r="I5" s="3"/>
      <c r="J5" s="3"/>
      <c r="K5" s="3"/>
      <c r="M5" s="35"/>
    </row>
    <row r="6" spans="1:13" ht="13.5" customHeight="1" x14ac:dyDescent="0.2">
      <c r="A6" s="75">
        <f>+'(skema1-7_2013 - 13pl)'!A6</f>
        <v>1309</v>
      </c>
      <c r="B6" s="7" t="str">
        <f>+'(skema1-7_2013 - 13pl)'!B6</f>
        <v>Bispebjerg og Frederiksberg Hospital</v>
      </c>
      <c r="C6" s="99">
        <f>+'Skema1-7_2014'!J6</f>
        <v>2600164.4969785665</v>
      </c>
      <c r="D6" s="82">
        <v>66605.218297860702</v>
      </c>
      <c r="E6" s="82">
        <f t="shared" ref="E6:E30" si="0">C6-D6</f>
        <v>2533559.2786807059</v>
      </c>
      <c r="F6" s="82">
        <v>158299.72537591201</v>
      </c>
      <c r="G6" s="94">
        <f t="shared" ref="G6:G30" si="1">E6-F6</f>
        <v>2375259.5533047938</v>
      </c>
      <c r="I6" s="3"/>
      <c r="J6" s="3"/>
      <c r="K6" s="3"/>
      <c r="M6" s="35"/>
    </row>
    <row r="7" spans="1:13" ht="13.5" customHeight="1" x14ac:dyDescent="0.2">
      <c r="A7" s="75">
        <f>+'(skema1-7_2013 - 13pl)'!A7</f>
        <v>1330</v>
      </c>
      <c r="B7" s="7" t="str">
        <f>+'(skema1-7_2013 - 13pl)'!B7</f>
        <v>Amager og Hvidovre Hospital</v>
      </c>
      <c r="C7" s="99">
        <f>+'Skema1-7_2014'!J7</f>
        <v>2675984.2942345291</v>
      </c>
      <c r="D7" s="82">
        <v>55276.940765421896</v>
      </c>
      <c r="E7" s="82">
        <f t="shared" si="0"/>
        <v>2620707.3534691073</v>
      </c>
      <c r="F7" s="82">
        <v>146036.85871024002</v>
      </c>
      <c r="G7" s="94">
        <f t="shared" si="1"/>
        <v>2474670.4947588672</v>
      </c>
      <c r="I7" s="3"/>
      <c r="J7" s="3"/>
      <c r="K7" s="95"/>
      <c r="M7" s="35"/>
    </row>
    <row r="8" spans="1:13" ht="13.5" customHeight="1" x14ac:dyDescent="0.2">
      <c r="A8" s="75">
        <f>+'(skema1-7_2013 - 13pl)'!A8</f>
        <v>1501</v>
      </c>
      <c r="B8" s="7" t="str">
        <f>+'(skema1-7_2013 - 13pl)'!B8</f>
        <v>Gentofte Hospital</v>
      </c>
      <c r="C8" s="99">
        <f>+'Skema1-7_2014'!J8</f>
        <v>1346908.7685687772</v>
      </c>
      <c r="D8" s="82">
        <v>37022.539104763797</v>
      </c>
      <c r="E8" s="82">
        <f t="shared" si="0"/>
        <v>1309886.2294640134</v>
      </c>
      <c r="F8" s="82">
        <v>102222.95242547199</v>
      </c>
      <c r="G8" s="94">
        <f t="shared" si="1"/>
        <v>1207663.2770385414</v>
      </c>
      <c r="I8" s="3"/>
      <c r="J8" s="3"/>
      <c r="K8" s="3"/>
      <c r="M8" s="35"/>
    </row>
    <row r="9" spans="1:13" ht="13.5" customHeight="1" x14ac:dyDescent="0.2">
      <c r="A9" s="75">
        <f>+'(skema1-7_2013 - 13pl)'!A9</f>
        <v>1502</v>
      </c>
      <c r="B9" s="7" t="str">
        <f>+'(skema1-7_2013 - 13pl)'!B9</f>
        <v>Glostrup Hospital</v>
      </c>
      <c r="C9" s="99">
        <f>+'Skema1-7_2014'!J9</f>
        <v>1885049.4097544849</v>
      </c>
      <c r="D9" s="82">
        <v>57164.074145690916</v>
      </c>
      <c r="E9" s="82">
        <f t="shared" si="0"/>
        <v>1827885.3356087939</v>
      </c>
      <c r="F9" s="82">
        <v>284722.26051026402</v>
      </c>
      <c r="G9" s="94">
        <f t="shared" si="1"/>
        <v>1543163.0750985299</v>
      </c>
      <c r="I9" s="3"/>
      <c r="J9" s="3"/>
      <c r="K9" s="3"/>
      <c r="M9" s="35"/>
    </row>
    <row r="10" spans="1:13" ht="13.5" customHeight="1" x14ac:dyDescent="0.2">
      <c r="A10" s="75">
        <f>+'(skema1-7_2013 - 13pl)'!A10</f>
        <v>1516</v>
      </c>
      <c r="B10" s="7" t="str">
        <f>+'(skema1-7_2013 - 13pl)'!B10</f>
        <v>Herlev Hospital</v>
      </c>
      <c r="C10" s="99">
        <f>+'Skema1-7_2014'!J10</f>
        <v>3515625.4086347441</v>
      </c>
      <c r="D10" s="82">
        <v>103084.07989195254</v>
      </c>
      <c r="E10" s="82">
        <f t="shared" si="0"/>
        <v>3412541.3287427914</v>
      </c>
      <c r="F10" s="82">
        <v>439515.75785847998</v>
      </c>
      <c r="G10" s="94">
        <f t="shared" si="1"/>
        <v>2973025.5708843116</v>
      </c>
      <c r="I10" s="3"/>
      <c r="J10" s="3"/>
      <c r="K10" s="3"/>
      <c r="M10" s="35"/>
    </row>
    <row r="11" spans="1:13" ht="13.5" customHeight="1" x14ac:dyDescent="0.2">
      <c r="A11" s="75">
        <f>+'(skema1-7_2013 - 13pl)'!A11</f>
        <v>2000</v>
      </c>
      <c r="B11" s="7" t="str">
        <f>+'(skema1-7_2013 - 13pl)'!B11</f>
        <v>Nordsjællands Hospital</v>
      </c>
      <c r="C11" s="99">
        <f>+'Skema1-7_2014'!J11</f>
        <v>2390221.8813592782</v>
      </c>
      <c r="D11" s="82">
        <v>38549.810000000005</v>
      </c>
      <c r="E11" s="82">
        <f t="shared" si="0"/>
        <v>2351672.0713592782</v>
      </c>
      <c r="F11" s="82">
        <v>123886.53718506399</v>
      </c>
      <c r="G11" s="94">
        <f t="shared" si="1"/>
        <v>2227785.5341742141</v>
      </c>
      <c r="I11" s="3"/>
      <c r="J11" s="3"/>
      <c r="K11" s="3"/>
      <c r="M11" s="35"/>
    </row>
    <row r="12" spans="1:13" ht="13.5" customHeight="1" x14ac:dyDescent="0.2">
      <c r="A12" s="75">
        <f>+'(skema1-7_2013 - 13pl)'!A12</f>
        <v>4001</v>
      </c>
      <c r="B12" s="7" t="str">
        <f>+'(skema1-7_2013 - 13pl)'!B12</f>
        <v>Bornholms Hospital</v>
      </c>
      <c r="C12" s="99">
        <f>+'Skema1-7_2014'!J12</f>
        <v>389904.2213278031</v>
      </c>
      <c r="D12" s="82">
        <v>0</v>
      </c>
      <c r="E12" s="82">
        <f t="shared" si="0"/>
        <v>389904.2213278031</v>
      </c>
      <c r="F12" s="82">
        <v>26899.462954592</v>
      </c>
      <c r="G12" s="94">
        <f t="shared" si="1"/>
        <v>363004.75837321108</v>
      </c>
      <c r="I12" s="3"/>
      <c r="J12" s="3"/>
      <c r="K12" s="3"/>
      <c r="M12" s="35"/>
    </row>
    <row r="13" spans="1:13" ht="13.5" customHeight="1" x14ac:dyDescent="0.2">
      <c r="A13" s="75">
        <f>+'(skema1-7_2013 - 13pl)'!A13</f>
        <v>3810</v>
      </c>
      <c r="B13" s="7" t="str">
        <f>+'(skema1-7_2013 - 13pl)'!B13</f>
        <v>Roskilde og Køge sygehuse</v>
      </c>
      <c r="C13" s="99">
        <f>+'Skema1-7_2014'!J13</f>
        <v>3072584.2619999996</v>
      </c>
      <c r="D13" s="82">
        <v>49628.978999999992</v>
      </c>
      <c r="E13" s="82">
        <f t="shared" si="0"/>
        <v>3022955.2829999998</v>
      </c>
      <c r="F13" s="82">
        <v>438417.44999783993</v>
      </c>
      <c r="G13" s="94">
        <f t="shared" si="1"/>
        <v>2584537.8330021598</v>
      </c>
      <c r="I13" s="3"/>
      <c r="J13" s="3"/>
      <c r="K13" s="3"/>
      <c r="M13" s="35"/>
    </row>
    <row r="14" spans="1:13" ht="13.5" customHeight="1" x14ac:dyDescent="0.2">
      <c r="A14" s="75">
        <f>+'(skema1-7_2013 - 13pl)'!A14</f>
        <v>3820</v>
      </c>
      <c r="B14" s="7" t="str">
        <f>+'(skema1-7_2013 - 13pl)'!B14</f>
        <v>Holbæk Sygehus</v>
      </c>
      <c r="C14" s="99">
        <f>+'Skema1-7_2014'!J14</f>
        <v>1149637.5421904081</v>
      </c>
      <c r="D14" s="82">
        <v>17308.32</v>
      </c>
      <c r="E14" s="82">
        <f t="shared" si="0"/>
        <v>1132329.222190408</v>
      </c>
      <c r="F14" s="82">
        <v>64056.059527999998</v>
      </c>
      <c r="G14" s="94">
        <f t="shared" si="1"/>
        <v>1068273.1626624081</v>
      </c>
      <c r="I14" s="3"/>
      <c r="J14" s="3"/>
      <c r="K14" s="3"/>
      <c r="M14" s="35"/>
    </row>
    <row r="15" spans="1:13" ht="13.5" customHeight="1" x14ac:dyDescent="0.2">
      <c r="A15" s="75">
        <f>+'(skema1-7_2013 - 13pl)'!A15</f>
        <v>3830</v>
      </c>
      <c r="B15" s="7" t="str">
        <f>+'(skema1-7_2013 - 13pl)'!B15</f>
        <v>Næstved, Slagelse og Ringsted sygehuse</v>
      </c>
      <c r="C15" s="99">
        <f>+'Skema1-7_2014'!J15</f>
        <v>2593171.0100000002</v>
      </c>
      <c r="D15" s="82">
        <v>25834.082999999999</v>
      </c>
      <c r="E15" s="82">
        <f t="shared" si="0"/>
        <v>2567336.9270000001</v>
      </c>
      <c r="F15" s="82">
        <v>189674.72139029601</v>
      </c>
      <c r="G15" s="94">
        <f t="shared" si="1"/>
        <v>2377662.2056097044</v>
      </c>
      <c r="I15" s="3"/>
      <c r="J15" s="3"/>
      <c r="K15" s="3"/>
      <c r="M15" s="35"/>
    </row>
    <row r="16" spans="1:13" ht="13.5" customHeight="1" x14ac:dyDescent="0.2">
      <c r="A16" s="75">
        <f>+'(skema1-7_2013 - 13pl)'!A16</f>
        <v>3840</v>
      </c>
      <c r="B16" s="7" t="str">
        <f>+'(skema1-7_2013 - 13pl)'!B16</f>
        <v>Nykøbing Sygehus</v>
      </c>
      <c r="C16" s="99">
        <f>+'Skema1-7_2014'!J16</f>
        <v>876958.55673250009</v>
      </c>
      <c r="D16" s="82">
        <v>7479.3779999999997</v>
      </c>
      <c r="E16" s="82">
        <f t="shared" si="0"/>
        <v>869479.17873250006</v>
      </c>
      <c r="F16" s="82">
        <v>21688.774872463997</v>
      </c>
      <c r="G16" s="94">
        <f t="shared" si="1"/>
        <v>847790.40386003605</v>
      </c>
      <c r="I16" s="3"/>
      <c r="J16" s="3"/>
      <c r="K16" s="3"/>
      <c r="M16" s="35"/>
    </row>
    <row r="17" spans="1:13" ht="13.5" customHeight="1" x14ac:dyDescent="0.2">
      <c r="A17" s="75">
        <f>+'(skema1-7_2013 - 13pl)'!A17</f>
        <v>4202</v>
      </c>
      <c r="B17" s="7" t="str">
        <f>+'(skema1-7_2013 - 13pl)'!B17</f>
        <v>Odense Universitetshospital</v>
      </c>
      <c r="C17" s="99">
        <f>+'Skema1-7_2014'!J17</f>
        <v>6455655</v>
      </c>
      <c r="D17" s="82">
        <v>212600</v>
      </c>
      <c r="E17" s="82">
        <f t="shared" si="0"/>
        <v>6243055</v>
      </c>
      <c r="F17" s="82">
        <v>666247.35137413605</v>
      </c>
      <c r="G17" s="94">
        <f t="shared" si="1"/>
        <v>5576807.6486258637</v>
      </c>
      <c r="I17" s="3"/>
      <c r="J17" s="3"/>
      <c r="K17" s="3"/>
      <c r="M17" s="35"/>
    </row>
    <row r="18" spans="1:13" ht="13.5" customHeight="1" x14ac:dyDescent="0.2">
      <c r="A18" s="75">
        <f>+'(skema1-7_2013 - 13pl)'!A18</f>
        <v>5000</v>
      </c>
      <c r="B18" s="7" t="str">
        <f>+'(skema1-7_2013 - 13pl)'!B18</f>
        <v>Sygehus Sønderjylland</v>
      </c>
      <c r="C18" s="99">
        <f>+'Skema1-7_2014'!J18</f>
        <v>1739036</v>
      </c>
      <c r="D18" s="82">
        <v>6157</v>
      </c>
      <c r="E18" s="82">
        <f t="shared" si="0"/>
        <v>1732879</v>
      </c>
      <c r="F18" s="82">
        <v>116635.12045833602</v>
      </c>
      <c r="G18" s="94">
        <f t="shared" si="1"/>
        <v>1616243.8795416639</v>
      </c>
      <c r="I18" s="3"/>
      <c r="J18" s="3"/>
      <c r="K18" s="3"/>
      <c r="M18" s="35"/>
    </row>
    <row r="19" spans="1:13" ht="13.5" customHeight="1" x14ac:dyDescent="0.2">
      <c r="A19" s="75">
        <f>+'(skema1-7_2013 - 13pl)'!A19</f>
        <v>5501</v>
      </c>
      <c r="B19" s="7" t="str">
        <f>+'(skema1-7_2013 - 13pl)'!B19</f>
        <v>Sydvestjysk Sygehus</v>
      </c>
      <c r="C19" s="99">
        <f>+'Skema1-7_2014'!J19</f>
        <v>1727833</v>
      </c>
      <c r="D19" s="82">
        <v>8675</v>
      </c>
      <c r="E19" s="82">
        <f t="shared" si="0"/>
        <v>1719158</v>
      </c>
      <c r="F19" s="82">
        <v>144187.17058406395</v>
      </c>
      <c r="G19" s="94">
        <f t="shared" si="1"/>
        <v>1574970.829415936</v>
      </c>
      <c r="I19" s="3"/>
      <c r="J19" s="3"/>
      <c r="K19" s="3"/>
      <c r="M19" s="35"/>
    </row>
    <row r="20" spans="1:13" ht="13.5" customHeight="1" x14ac:dyDescent="0.2">
      <c r="A20" s="75">
        <f>+'(skema1-7_2013 - 13pl)'!A20</f>
        <v>6007</v>
      </c>
      <c r="B20" s="7" t="str">
        <f>+'(skema1-7_2013 - 13pl)'!B20</f>
        <v>Fredericia og Kolding sygehuse</v>
      </c>
      <c r="C20" s="99">
        <f>+'Skema1-7_2014'!J20</f>
        <v>1447432.2341295884</v>
      </c>
      <c r="D20" s="82">
        <v>25710</v>
      </c>
      <c r="E20" s="82">
        <f t="shared" si="0"/>
        <v>1421722.2341295884</v>
      </c>
      <c r="F20" s="82">
        <v>76362.337335808013</v>
      </c>
      <c r="G20" s="94">
        <f t="shared" si="1"/>
        <v>1345359.8967937804</v>
      </c>
      <c r="I20" s="3"/>
      <c r="J20" s="3"/>
      <c r="K20" s="3"/>
      <c r="M20" s="35"/>
    </row>
    <row r="21" spans="1:13" ht="13.5" customHeight="1" x14ac:dyDescent="0.2">
      <c r="A21" s="75">
        <f>+'(skema1-7_2013 - 13pl)'!A21</f>
        <v>6008</v>
      </c>
      <c r="B21" s="7" t="str">
        <f>+'(skema1-7_2013 - 13pl)'!B21</f>
        <v>Vejle-Give-Middelfart sygehuse</v>
      </c>
      <c r="C21" s="99">
        <f>+'Skema1-7_2014'!J21</f>
        <v>1708910.3116312651</v>
      </c>
      <c r="D21" s="82">
        <v>60886.999999999993</v>
      </c>
      <c r="E21" s="82">
        <f t="shared" si="0"/>
        <v>1648023.3116312651</v>
      </c>
      <c r="F21" s="82">
        <v>291831.84689774405</v>
      </c>
      <c r="G21" s="94">
        <f t="shared" si="1"/>
        <v>1356191.464733521</v>
      </c>
      <c r="I21" s="3"/>
      <c r="J21" s="3"/>
      <c r="K21" s="3"/>
      <c r="M21" s="35"/>
    </row>
    <row r="22" spans="1:13" ht="13.5" customHeight="1" x14ac:dyDescent="0.2">
      <c r="A22" s="75">
        <f>+'(skema1-7_2013 - 13pl)'!A22</f>
        <v>6013</v>
      </c>
      <c r="B22" s="7" t="str">
        <f>+'(skema1-7_2013 - 13pl)'!B22</f>
        <v>De Vestdanske Friklinikker, Give</v>
      </c>
      <c r="C22" s="99">
        <f>+'Skema1-7_2014'!J22</f>
        <v>86460</v>
      </c>
      <c r="D22" s="82">
        <v>0</v>
      </c>
      <c r="E22" s="82">
        <f t="shared" si="0"/>
        <v>86460</v>
      </c>
      <c r="F22" s="82">
        <v>503.79679999999996</v>
      </c>
      <c r="G22" s="94">
        <f t="shared" si="1"/>
        <v>85956.203200000004</v>
      </c>
      <c r="I22" s="3"/>
      <c r="J22" s="3"/>
      <c r="K22" s="3"/>
      <c r="M22" s="35"/>
    </row>
    <row r="23" spans="1:13" ht="13.5" customHeight="1" x14ac:dyDescent="0.2">
      <c r="A23" s="75">
        <f>+'(skema1-7_2013 - 13pl)'!A23</f>
        <v>6006</v>
      </c>
      <c r="B23" s="7" t="str">
        <f>+'(skema1-7_2013 - 13pl)'!B23</f>
        <v>Hospitalenheden Horsens</v>
      </c>
      <c r="C23" s="99">
        <f>+'Skema1-7_2014'!J23</f>
        <v>972172</v>
      </c>
      <c r="D23" s="82">
        <v>7181</v>
      </c>
      <c r="E23" s="82">
        <f t="shared" si="0"/>
        <v>964991</v>
      </c>
      <c r="F23" s="82">
        <v>36694.646658816004</v>
      </c>
      <c r="G23" s="94">
        <f t="shared" si="1"/>
        <v>928296.35334118397</v>
      </c>
      <c r="I23" s="3"/>
      <c r="J23" s="3"/>
      <c r="K23" s="3"/>
      <c r="M23" s="35"/>
    </row>
    <row r="24" spans="1:13" ht="13.5" customHeight="1" x14ac:dyDescent="0.2">
      <c r="A24" s="75">
        <f>+'(skema1-7_2013 - 13pl)'!A24</f>
        <v>6650</v>
      </c>
      <c r="B24" s="7" t="str">
        <f>+'(skema1-7_2013 - 13pl)'!B24</f>
        <v>Hospitalsenheden Vest</v>
      </c>
      <c r="C24" s="99">
        <f>+'Skema1-7_2014'!J24</f>
        <v>2150975</v>
      </c>
      <c r="D24" s="82">
        <v>25452</v>
      </c>
      <c r="E24" s="82">
        <f t="shared" si="0"/>
        <v>2125523</v>
      </c>
      <c r="F24" s="82">
        <v>224613.86885072009</v>
      </c>
      <c r="G24" s="94">
        <f t="shared" si="1"/>
        <v>1900909.1311492799</v>
      </c>
      <c r="I24" s="3"/>
      <c r="J24" s="3"/>
      <c r="K24" s="3"/>
      <c r="M24" s="35"/>
    </row>
    <row r="25" spans="1:13" ht="13.5" customHeight="1" x14ac:dyDescent="0.2">
      <c r="A25" s="75">
        <f>+'(skema1-7_2013 - 13pl)'!A25</f>
        <v>6620</v>
      </c>
      <c r="B25" s="7" t="str">
        <f>+'(skema1-7_2013 - 13pl)'!B25</f>
        <v>Aarhus Universitetshospital</v>
      </c>
      <c r="C25" s="99">
        <f>+'Skema1-7_2014'!J25</f>
        <v>6897321.9653238431</v>
      </c>
      <c r="D25" s="82">
        <v>258207</v>
      </c>
      <c r="E25" s="82">
        <f t="shared" si="0"/>
        <v>6639114.9653238431</v>
      </c>
      <c r="F25" s="82">
        <v>1018529.7490217602</v>
      </c>
      <c r="G25" s="94">
        <f t="shared" si="1"/>
        <v>5620585.2163020829</v>
      </c>
      <c r="I25" s="3"/>
      <c r="J25" s="3"/>
      <c r="K25" s="3"/>
      <c r="M25" s="35"/>
    </row>
    <row r="26" spans="1:13" ht="13.5" customHeight="1" x14ac:dyDescent="0.2">
      <c r="A26" s="75">
        <f>+'(skema1-7_2013 - 13pl)'!A26</f>
        <v>7005</v>
      </c>
      <c r="B26" s="7" t="str">
        <f>+'(skema1-7_2013 - 13pl)'!B26</f>
        <v>Regionshospitalet Randers</v>
      </c>
      <c r="C26" s="99">
        <f>+'Skema1-7_2014'!J26</f>
        <v>1059601</v>
      </c>
      <c r="D26" s="82">
        <v>-1352</v>
      </c>
      <c r="E26" s="82">
        <f t="shared" si="0"/>
        <v>1060953</v>
      </c>
      <c r="F26" s="82">
        <v>47237.851494028153</v>
      </c>
      <c r="G26" s="94">
        <f t="shared" si="1"/>
        <v>1013715.1485059719</v>
      </c>
      <c r="I26" s="3"/>
      <c r="J26" s="3"/>
      <c r="K26" s="3"/>
      <c r="M26" s="35"/>
    </row>
    <row r="27" spans="1:13" ht="13.5" customHeight="1" x14ac:dyDescent="0.2">
      <c r="A27" s="75">
        <f>+'(skema1-7_2013 - 13pl)'!A27</f>
        <v>6630</v>
      </c>
      <c r="B27" s="7" t="str">
        <f>+'(skema1-7_2013 - 13pl)'!B27</f>
        <v>Hospitalsenhed Midt</v>
      </c>
      <c r="C27" s="99">
        <f>+'Skema1-7_2014'!J27</f>
        <v>2549065</v>
      </c>
      <c r="D27" s="82">
        <v>41470</v>
      </c>
      <c r="E27" s="82">
        <f t="shared" si="0"/>
        <v>2507595</v>
      </c>
      <c r="F27" s="82">
        <v>146332.79924724004</v>
      </c>
      <c r="G27" s="94">
        <f t="shared" si="1"/>
        <v>2361262.2007527598</v>
      </c>
      <c r="I27" s="3"/>
      <c r="J27" s="3"/>
      <c r="K27" s="3"/>
      <c r="M27" s="35"/>
    </row>
    <row r="28" spans="1:13" ht="13.5" customHeight="1" x14ac:dyDescent="0.2">
      <c r="A28" s="75">
        <f>+'(skema1-7_2013 - 13pl)'!A28</f>
        <v>7603</v>
      </c>
      <c r="B28" s="7" t="str">
        <f>+'(skema1-7_2013 - 13pl)'!B28</f>
        <v>Sygehus Thy - Mors</v>
      </c>
      <c r="C28" s="99">
        <f>+'Skema1-7_2014'!J28</f>
        <v>415664.6618849879</v>
      </c>
      <c r="D28" s="82">
        <v>0</v>
      </c>
      <c r="E28" s="82">
        <f t="shared" si="0"/>
        <v>415664.6618849879</v>
      </c>
      <c r="F28" s="82">
        <v>11836.651054832</v>
      </c>
      <c r="G28" s="94">
        <f t="shared" si="1"/>
        <v>403828.01083015592</v>
      </c>
      <c r="I28" s="3"/>
      <c r="J28" s="3"/>
      <c r="K28" s="3"/>
      <c r="M28" s="35"/>
    </row>
    <row r="29" spans="1:13" ht="13.5" customHeight="1" x14ac:dyDescent="0.2">
      <c r="A29" s="75">
        <f>+'(skema1-7_2013 - 13pl)'!A29</f>
        <v>8001</v>
      </c>
      <c r="B29" s="7" t="str">
        <f>+'(skema1-7_2013 - 13pl)'!B29</f>
        <v>Aalborg Universitetshospital</v>
      </c>
      <c r="C29" s="99">
        <f>+'Skema1-7_2014'!J29</f>
        <v>4384387.5819353592</v>
      </c>
      <c r="D29" s="82">
        <v>154618</v>
      </c>
      <c r="E29" s="82">
        <f t="shared" si="0"/>
        <v>4229769.5819353592</v>
      </c>
      <c r="F29" s="82">
        <v>401574.07188230404</v>
      </c>
      <c r="G29" s="94">
        <f t="shared" si="1"/>
        <v>3828195.5100530554</v>
      </c>
      <c r="I29" s="3"/>
      <c r="J29" s="3"/>
      <c r="K29" s="3"/>
      <c r="M29" s="35"/>
    </row>
    <row r="30" spans="1:13" ht="13.5" customHeight="1" x14ac:dyDescent="0.2">
      <c r="A30" s="75">
        <f>+'(skema1-7_2013 - 13pl)'!A30</f>
        <v>8003</v>
      </c>
      <c r="B30" s="7" t="str">
        <f>+'(skema1-7_2013 - 13pl)'!B30</f>
        <v>Sygehus Vendsyssel</v>
      </c>
      <c r="C30" s="99">
        <f>+'Skema1-7_2014'!J30</f>
        <v>937662.05317965243</v>
      </c>
      <c r="D30" s="82">
        <v>2982.8</v>
      </c>
      <c r="E30" s="82">
        <f t="shared" si="0"/>
        <v>934679.25317965238</v>
      </c>
      <c r="F30" s="82">
        <v>35193.971365583995</v>
      </c>
      <c r="G30" s="94">
        <f t="shared" si="1"/>
        <v>899485.28181406844</v>
      </c>
      <c r="I30" s="3"/>
      <c r="J30" s="3"/>
      <c r="K30" s="3"/>
      <c r="M30" s="35"/>
    </row>
    <row r="31" spans="1:13" ht="13.5" customHeight="1" x14ac:dyDescent="0.2">
      <c r="A31" s="13"/>
      <c r="B31" s="13" t="s">
        <v>20</v>
      </c>
      <c r="C31" s="83">
        <f>SUM(C5:C30)</f>
        <v>61936316.657816008</v>
      </c>
      <c r="D31" s="83">
        <f>SUM(D5:D30)</f>
        <v>1528692.3812763137</v>
      </c>
      <c r="E31" s="83">
        <f>SUM(E5:E30)</f>
        <v>60407624.276539698</v>
      </c>
      <c r="F31" s="83">
        <f>SUM(F5:F30)</f>
        <v>6212457.9991147416</v>
      </c>
      <c r="G31" s="96">
        <f>SUM(G5:G30)</f>
        <v>54195166.277424961</v>
      </c>
      <c r="I31" s="3"/>
      <c r="J31" s="3"/>
      <c r="K31" s="3"/>
    </row>
    <row r="32" spans="1:13" ht="13.5" customHeight="1" x14ac:dyDescent="0.2">
      <c r="I32" s="39"/>
      <c r="J32" s="3"/>
      <c r="K32" s="3"/>
    </row>
    <row r="33" spans="1:9" ht="13.5" customHeight="1" x14ac:dyDescent="0.2">
      <c r="B33" s="17" t="s">
        <v>34</v>
      </c>
      <c r="C33" s="18">
        <f>SUM(C5:C12)</f>
        <v>21711789.47880841</v>
      </c>
      <c r="D33" s="18">
        <f>SUM(D5:D12)</f>
        <v>625853.82127631363</v>
      </c>
      <c r="E33" s="18">
        <f>SUM(E5:E12)</f>
        <v>21085935.657532096</v>
      </c>
      <c r="F33" s="18">
        <f>SUM(F5:F12)</f>
        <v>2280839.7603007681</v>
      </c>
      <c r="G33" s="6">
        <f>SUM(G5:G12)</f>
        <v>18805095.897231329</v>
      </c>
      <c r="I33" s="39"/>
    </row>
    <row r="34" spans="1:9" ht="13.5" customHeight="1" x14ac:dyDescent="0.2">
      <c r="B34" s="19" t="s">
        <v>35</v>
      </c>
      <c r="C34" s="5">
        <f>SUM(C13:C16)</f>
        <v>7692351.3709229082</v>
      </c>
      <c r="D34" s="5">
        <f>SUM(D13:D16)</f>
        <v>100250.76</v>
      </c>
      <c r="E34" s="5">
        <f>SUM(E13:E16)</f>
        <v>7592100.6109229084</v>
      </c>
      <c r="F34" s="5">
        <f>SUM(F13:F16)</f>
        <v>713837.00578859996</v>
      </c>
      <c r="G34" s="8">
        <f>SUM(G13:G16)</f>
        <v>6878263.6051343083</v>
      </c>
    </row>
    <row r="35" spans="1:9" ht="13.5" customHeight="1" x14ac:dyDescent="0.2">
      <c r="B35" s="19" t="s">
        <v>36</v>
      </c>
      <c r="C35" s="5">
        <f>SUM(C17:C22)</f>
        <v>13165326.545760855</v>
      </c>
      <c r="D35" s="5">
        <f>SUM(D17:D22)</f>
        <v>314029</v>
      </c>
      <c r="E35" s="5">
        <f>SUM(E17:E22)</f>
        <v>12851297.545760855</v>
      </c>
      <c r="F35" s="5">
        <f>SUM(F17:F22)</f>
        <v>1295767.6234500881</v>
      </c>
      <c r="G35" s="8">
        <f>SUM(G17:G22)</f>
        <v>11555529.922310764</v>
      </c>
    </row>
    <row r="36" spans="1:9" ht="13.5" customHeight="1" x14ac:dyDescent="0.2">
      <c r="B36" s="19" t="s">
        <v>37</v>
      </c>
      <c r="C36" s="5">
        <f>SUM(C23:C27)</f>
        <v>13629134.965323843</v>
      </c>
      <c r="D36" s="5">
        <f>SUM(D23:D27)</f>
        <v>330958</v>
      </c>
      <c r="E36" s="5">
        <f>SUM(E23:E27)</f>
        <v>13298176.965323843</v>
      </c>
      <c r="F36" s="5">
        <f>SUM(F23:F27)</f>
        <v>1473408.9152725644</v>
      </c>
      <c r="G36" s="8">
        <f>SUM(G23:G27)</f>
        <v>11824768.050051279</v>
      </c>
    </row>
    <row r="37" spans="1:9" ht="13.5" customHeight="1" x14ac:dyDescent="0.2">
      <c r="B37" s="20" t="s">
        <v>38</v>
      </c>
      <c r="C37" s="10">
        <f>+SUM(C28:C30)</f>
        <v>5737714.2969999993</v>
      </c>
      <c r="D37" s="10">
        <f>+SUM(D28:D30)</f>
        <v>157600.79999999999</v>
      </c>
      <c r="E37" s="10">
        <f>+SUM(E28:E30)</f>
        <v>5580113.4969999995</v>
      </c>
      <c r="F37" s="10">
        <f>+SUM(F28:F30)</f>
        <v>448604.69430272002</v>
      </c>
      <c r="G37" s="21">
        <f>+SUM(G28:G30)</f>
        <v>5131508.8026972795</v>
      </c>
    </row>
    <row r="38" spans="1:9" ht="13.5" customHeight="1" x14ac:dyDescent="0.2">
      <c r="B38" s="13" t="s">
        <v>20</v>
      </c>
      <c r="C38" s="22">
        <f>SUM(C33:C37)</f>
        <v>61936316.657816015</v>
      </c>
      <c r="D38" s="97">
        <f>SUM(D33:D37)</f>
        <v>1528692.3812763137</v>
      </c>
      <c r="E38" s="97">
        <f>SUM(E33:E37)</f>
        <v>60407624.276539706</v>
      </c>
      <c r="F38" s="97">
        <f>SUM(F33:F37)</f>
        <v>6212457.9991147406</v>
      </c>
      <c r="G38" s="98">
        <f>SUM(G33:G37)</f>
        <v>54195166.277424961</v>
      </c>
    </row>
    <row r="39" spans="1:9" ht="13.5" customHeight="1" x14ac:dyDescent="0.2"/>
    <row r="40" spans="1:9" ht="13.5" customHeight="1" x14ac:dyDescent="0.2">
      <c r="F40" s="167"/>
      <c r="G40" s="167"/>
      <c r="H40" s="167"/>
    </row>
    <row r="41" spans="1:9" ht="13.5" customHeight="1" x14ac:dyDescent="0.2">
      <c r="F41" s="167"/>
      <c r="G41" s="167"/>
      <c r="H41" s="167"/>
    </row>
    <row r="42" spans="1:9" ht="13.5" customHeight="1" x14ac:dyDescent="0.2">
      <c r="F42" s="167"/>
      <c r="G42" s="167"/>
      <c r="H42" s="167"/>
    </row>
    <row r="43" spans="1:9" ht="13.5" customHeight="1" x14ac:dyDescent="0.2">
      <c r="A43" s="77"/>
      <c r="B43" s="39"/>
      <c r="C43" s="28"/>
      <c r="D43" s="39"/>
      <c r="F43" s="167"/>
      <c r="G43" s="167"/>
      <c r="H43" s="167"/>
    </row>
    <row r="44" spans="1:9" ht="13.5" customHeight="1" x14ac:dyDescent="0.2">
      <c r="A44" s="77"/>
      <c r="B44" s="3"/>
      <c r="C44" s="3"/>
      <c r="D44" s="3"/>
      <c r="F44" s="167"/>
      <c r="G44" s="167"/>
      <c r="H44" s="167"/>
    </row>
    <row r="45" spans="1:9" ht="13.5" customHeight="1" x14ac:dyDescent="0.2">
      <c r="A45" s="77"/>
      <c r="B45" s="3"/>
      <c r="C45" s="3"/>
      <c r="D45" s="3"/>
      <c r="F45" s="167"/>
      <c r="G45" s="167"/>
      <c r="H45" s="167"/>
    </row>
    <row r="46" spans="1:9" ht="13.5" customHeight="1" x14ac:dyDescent="0.2">
      <c r="A46" s="77"/>
      <c r="B46" s="3"/>
      <c r="C46" s="3"/>
      <c r="D46" s="3"/>
    </row>
    <row r="47" spans="1:9" x14ac:dyDescent="0.2">
      <c r="A47" s="77"/>
      <c r="B47" s="3"/>
      <c r="C47" s="3"/>
      <c r="D47" s="3"/>
    </row>
    <row r="48" spans="1:9" x14ac:dyDescent="0.2">
      <c r="A48" s="77"/>
      <c r="B48" s="3"/>
      <c r="C48" s="3"/>
      <c r="D48" s="3"/>
    </row>
  </sheetData>
  <phoneticPr fontId="4" type="noConversion"/>
  <pageMargins left="0.51181102362204722" right="0.43307086614173229" top="0.51181102362204722" bottom="0.19685039370078741" header="0.23622047244094491" footer="0.23622047244094491"/>
  <pageSetup paperSize="9" scale="77" orientation="landscape" cellComments="asDisplayed" horizontalDpi="300" verticalDpi="300" r:id="rId1"/>
  <headerFooter alignWithMargins="0">
    <oddHeader>&amp;CSide &amp;P / &amp;N</oddHeader>
  </headerFooter>
  <ignoredErrors>
    <ignoredError sqref="D33:F3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zoomScaleNormal="100" workbookViewId="0"/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16384" width="9.140625" style="24"/>
  </cols>
  <sheetData>
    <row r="1" spans="1:7" ht="15.75" x14ac:dyDescent="0.25">
      <c r="A1" s="72"/>
    </row>
    <row r="2" spans="1:7" ht="13.5" customHeight="1" x14ac:dyDescent="0.2">
      <c r="A2" s="92" t="s">
        <v>147</v>
      </c>
      <c r="B2" s="39"/>
      <c r="C2" s="28"/>
      <c r="D2" s="38"/>
    </row>
    <row r="3" spans="1:7" ht="13.5" customHeight="1" x14ac:dyDescent="0.2">
      <c r="A3" s="93" t="s">
        <v>51</v>
      </c>
      <c r="B3" s="39"/>
      <c r="C3" s="28"/>
    </row>
    <row r="4" spans="1:7" ht="54" customHeight="1" x14ac:dyDescent="0.2">
      <c r="A4" s="73" t="s">
        <v>12</v>
      </c>
      <c r="B4" s="73" t="s">
        <v>0</v>
      </c>
      <c r="C4" s="12" t="s">
        <v>21</v>
      </c>
      <c r="D4" s="12" t="s">
        <v>22</v>
      </c>
      <c r="E4" s="12" t="s">
        <v>29</v>
      </c>
      <c r="F4" s="12" t="s">
        <v>27</v>
      </c>
      <c r="G4" s="12" t="s">
        <v>28</v>
      </c>
    </row>
    <row r="5" spans="1:7" ht="13.5" customHeight="1" x14ac:dyDescent="0.2">
      <c r="A5" s="74">
        <f>+'(skema1-7_2013 - 13pl)'!A5</f>
        <v>1301</v>
      </c>
      <c r="B5" s="4" t="str">
        <f>+'(skema1-7_2013 - 13pl)'!B5</f>
        <v>Rigshospitalet</v>
      </c>
      <c r="C5" s="99">
        <f>IF(DTD_13!C5=0,"-",DTD_14!C5/DTD_13!C5*100-100)</f>
        <v>3.8073400548140057</v>
      </c>
      <c r="D5" s="100">
        <f>IF(DTD_13!D5=0,"-",DTD_14!D5/DTD_13!D5*100-100)</f>
        <v>4.2334155457358662</v>
      </c>
      <c r="E5" s="82">
        <f>IF(DTD_13!E5=0,"-",DTD_14!E5/DTD_13!E5*100-100)</f>
        <v>3.790205928791849</v>
      </c>
      <c r="F5" s="82">
        <f>IF(DTD_13!F5=0,"-",DTD_14!F5/DTD_13!F5*100-100)</f>
        <v>6.8201438926662803</v>
      </c>
      <c r="G5" s="94">
        <f>IF(DTD_13!G5=0,"-",DTD_14!G5/DTD_13!G5*100-100)</f>
        <v>3.2712654984968736</v>
      </c>
    </row>
    <row r="6" spans="1:7" ht="13.5" customHeight="1" x14ac:dyDescent="0.2">
      <c r="A6" s="75">
        <f>+'(skema1-7_2013 - 13pl)'!A6</f>
        <v>1309</v>
      </c>
      <c r="B6" s="7" t="str">
        <f>+'(skema1-7_2013 - 13pl)'!B6</f>
        <v>Bispebjerg og Frederiksberg Hospital</v>
      </c>
      <c r="C6" s="99">
        <f>IF(DTD_13!C6=0,"-",DTD_14!C6/DTD_13!C6*100-100)</f>
        <v>2.9525807911576294</v>
      </c>
      <c r="D6" s="100">
        <f>IF(DTD_13!D6=0,"-",DTD_14!D6/DTD_13!D6*100-100)</f>
        <v>6.1903539077231073</v>
      </c>
      <c r="E6" s="82">
        <f>IF(DTD_13!E6=0,"-",DTD_14!E6/DTD_13!E6*100-100)</f>
        <v>2.8701237412713994</v>
      </c>
      <c r="F6" s="82">
        <f>IF(DTD_13!F6=0,"-",DTD_14!F6/DTD_13!F6*100-100)</f>
        <v>9.0559486262774271</v>
      </c>
      <c r="G6" s="94">
        <f>IF(DTD_13!G6=0,"-",DTD_14!G6/DTD_13!G6*100-100)</f>
        <v>2.4827162831334419</v>
      </c>
    </row>
    <row r="7" spans="1:7" ht="13.5" customHeight="1" x14ac:dyDescent="0.2">
      <c r="A7" s="75">
        <f>+'(skema1-7_2013 - 13pl)'!A7</f>
        <v>1330</v>
      </c>
      <c r="B7" s="7" t="str">
        <f>+'(skema1-7_2013 - 13pl)'!B7</f>
        <v>Amager og Hvidovre Hospital</v>
      </c>
      <c r="C7" s="99">
        <f>IF(DTD_13!C7=0,"-",DTD_14!C7/DTD_13!C7*100-100)</f>
        <v>0.31004417212641044</v>
      </c>
      <c r="D7" s="100">
        <f>IF(DTD_13!D7=0,"-",DTD_14!D7/DTD_13!D7*100-100)</f>
        <v>-8.5649715730374538</v>
      </c>
      <c r="E7" s="82">
        <f>IF(DTD_13!E7=0,"-",DTD_14!E7/DTD_13!E7*100-100)</f>
        <v>0.51583047530421311</v>
      </c>
      <c r="F7" s="82">
        <f>IF(DTD_13!F7=0,"-",DTD_14!F7/DTD_13!F7*100-100)</f>
        <v>7.7014187572541601</v>
      </c>
      <c r="G7" s="94">
        <f>IF(DTD_13!G7=0,"-",DTD_14!G7/DTD_13!G7*100-100)</f>
        <v>0.12163291554941225</v>
      </c>
    </row>
    <row r="8" spans="1:7" ht="13.5" customHeight="1" x14ac:dyDescent="0.2">
      <c r="A8" s="75">
        <f>+'(skema1-7_2013 - 13pl)'!A8</f>
        <v>1501</v>
      </c>
      <c r="B8" s="7" t="str">
        <f>+'(skema1-7_2013 - 13pl)'!B8</f>
        <v>Gentofte Hospital</v>
      </c>
      <c r="C8" s="99">
        <f>IF(DTD_13!C8=0,"-",DTD_14!C8/DTD_13!C8*100-100)</f>
        <v>2.4407397197040268</v>
      </c>
      <c r="D8" s="100">
        <f>IF(DTD_13!D8=0,"-",DTD_14!D8/DTD_13!D8*100-100)</f>
        <v>84.502418259894455</v>
      </c>
      <c r="E8" s="82">
        <f>IF(DTD_13!E8=0,"-",DTD_14!E8/DTD_13!E8*100-100)</f>
        <v>1.1689416427070682</v>
      </c>
      <c r="F8" s="82">
        <f>IF(DTD_13!F8=0,"-",DTD_14!F8/DTD_13!F8*100-100)</f>
        <v>12.860980058083598</v>
      </c>
      <c r="G8" s="94">
        <f>IF(DTD_13!G8=0,"-",DTD_14!G8/DTD_13!G8*100-100)</f>
        <v>0.28950518684460746</v>
      </c>
    </row>
    <row r="9" spans="1:7" ht="13.5" customHeight="1" x14ac:dyDescent="0.2">
      <c r="A9" s="75">
        <f>+'(skema1-7_2013 - 13pl)'!A9</f>
        <v>1502</v>
      </c>
      <c r="B9" s="7" t="str">
        <f>+'(skema1-7_2013 - 13pl)'!B9</f>
        <v>Glostrup Hospital</v>
      </c>
      <c r="C9" s="99">
        <f>IF(DTD_13!C9=0,"-",DTD_14!C9/DTD_13!C9*100-100)</f>
        <v>3.172481860644254</v>
      </c>
      <c r="D9" s="100">
        <f>IF(DTD_13!D9=0,"-",DTD_14!D9/DTD_13!D9*100-100)</f>
        <v>22.386154606969242</v>
      </c>
      <c r="E9" s="82">
        <f>IF(DTD_13!E9=0,"-",DTD_14!E9/DTD_13!E9*100-100)</f>
        <v>2.6684138029251301</v>
      </c>
      <c r="F9" s="82">
        <f>IF(DTD_13!F9=0,"-",DTD_14!F9/DTD_13!F9*100-100)</f>
        <v>1.8612616146368879</v>
      </c>
      <c r="G9" s="94">
        <f>IF(DTD_13!G9=0,"-",DTD_14!G9/DTD_13!G9*100-100)</f>
        <v>2.818737776046504</v>
      </c>
    </row>
    <row r="10" spans="1:7" ht="13.5" customHeight="1" x14ac:dyDescent="0.2">
      <c r="A10" s="75">
        <f>+'(skema1-7_2013 - 13pl)'!A10</f>
        <v>1516</v>
      </c>
      <c r="B10" s="7" t="str">
        <f>+'(skema1-7_2013 - 13pl)'!B10</f>
        <v>Herlev Hospital</v>
      </c>
      <c r="C10" s="99">
        <f>IF(DTD_13!C10=0,"-",DTD_14!C10/DTD_13!C10*100-100)</f>
        <v>3.7772247066607747</v>
      </c>
      <c r="D10" s="100">
        <f>IF(DTD_13!D10=0,"-",DTD_14!D10/DTD_13!D10*100-100)</f>
        <v>-11.859553554059829</v>
      </c>
      <c r="E10" s="82">
        <f>IF(DTD_13!E10=0,"-",DTD_14!E10/DTD_13!E10*100-100)</f>
        <v>4.3363658064022701</v>
      </c>
      <c r="F10" s="82">
        <f>IF(DTD_13!F10=0,"-",DTD_14!F10/DTD_13!F10*100-100)</f>
        <v>15.109036664181573</v>
      </c>
      <c r="G10" s="94">
        <f>IF(DTD_13!G10=0,"-",DTD_14!G10/DTD_13!G10*100-100)</f>
        <v>2.9125360730626113</v>
      </c>
    </row>
    <row r="11" spans="1:7" ht="13.5" customHeight="1" x14ac:dyDescent="0.2">
      <c r="A11" s="75">
        <f>+'(skema1-7_2013 - 13pl)'!A11</f>
        <v>2000</v>
      </c>
      <c r="B11" s="7" t="str">
        <f>+'(skema1-7_2013 - 13pl)'!B11</f>
        <v>Nordsjællands Hospital</v>
      </c>
      <c r="C11" s="99">
        <f>IF(DTD_13!C11=0,"-",DTD_14!C11/DTD_13!C11*100-100)</f>
        <v>-1.4617567912034986</v>
      </c>
      <c r="D11" s="100">
        <f>IF(DTD_13!D11=0,"-",DTD_14!D11/DTD_13!D11*100-100)</f>
        <v>15.386800296195076</v>
      </c>
      <c r="E11" s="82">
        <f>IF(DTD_13!E11=0,"-",DTD_14!E11/DTD_13!E11*100-100)</f>
        <v>-1.6970549845494673</v>
      </c>
      <c r="F11" s="82">
        <f>IF(DTD_13!F11=0,"-",DTD_14!F11/DTD_13!F11*100-100)</f>
        <v>8.9974158633313834</v>
      </c>
      <c r="G11" s="94">
        <f>IF(DTD_13!G11=0,"-",DTD_14!G11/DTD_13!G11*100-100)</f>
        <v>-2.2305092434500722</v>
      </c>
    </row>
    <row r="12" spans="1:7" ht="13.5" customHeight="1" x14ac:dyDescent="0.2">
      <c r="A12" s="75">
        <f>+'(skema1-7_2013 - 13pl)'!A12</f>
        <v>4001</v>
      </c>
      <c r="B12" s="7" t="str">
        <f>+'(skema1-7_2013 - 13pl)'!B12</f>
        <v>Bornholms Hospital</v>
      </c>
      <c r="C12" s="99">
        <f>IF(DTD_13!C12=0,"-",DTD_14!C12/DTD_13!C12*100-100)</f>
        <v>-1.5530107855857409</v>
      </c>
      <c r="D12" s="100" t="str">
        <f>IF(DTD_13!D12=0,"-",DTD_14!D12/DTD_13!D12*100-100)</f>
        <v>-</v>
      </c>
      <c r="E12" s="82">
        <f>IF(DTD_13!E12=0,"-",DTD_14!E12/DTD_13!E12*100-100)</f>
        <v>-1.5530107855857409</v>
      </c>
      <c r="F12" s="82">
        <f>IF(DTD_13!F12=0,"-",DTD_14!F12/DTD_13!F12*100-100)</f>
        <v>9.5644314047083583</v>
      </c>
      <c r="G12" s="94">
        <f>IF(DTD_13!G12=0,"-",DTD_14!G12/DTD_13!G12*100-100)</f>
        <v>-2.2877204073680701</v>
      </c>
    </row>
    <row r="13" spans="1:7" ht="13.5" customHeight="1" x14ac:dyDescent="0.2">
      <c r="A13" s="75">
        <f>+'(skema1-7_2013 - 13pl)'!A13</f>
        <v>3810</v>
      </c>
      <c r="B13" s="7" t="str">
        <f>+'(skema1-7_2013 - 13pl)'!B13</f>
        <v>Roskilde og Køge sygehuse</v>
      </c>
      <c r="C13" s="99">
        <f>IF(DTD_13!C13=0,"-",DTD_14!C13/DTD_13!C13*100-100)</f>
        <v>8.6021508961795661</v>
      </c>
      <c r="D13" s="100">
        <f>IF(DTD_13!D13=0,"-",DTD_14!D13/DTD_13!D13*100-100)</f>
        <v>0</v>
      </c>
      <c r="E13" s="82">
        <f>IF(DTD_13!E13=0,"-",DTD_14!E13/DTD_13!E13*100-100)</f>
        <v>8.7557408697139607</v>
      </c>
      <c r="F13" s="82">
        <f>IF(DTD_13!F13=0,"-",DTD_14!F13/DTD_13!F13*100-100)</f>
        <v>23.570850681105455</v>
      </c>
      <c r="G13" s="94">
        <f>IF(DTD_13!G13=0,"-",DTD_14!G13/DTD_13!G13*100-100)</f>
        <v>6.5880258102909153</v>
      </c>
    </row>
    <row r="14" spans="1:7" ht="13.5" customHeight="1" x14ac:dyDescent="0.2">
      <c r="A14" s="75">
        <f>+'(skema1-7_2013 - 13pl)'!A14</f>
        <v>3820</v>
      </c>
      <c r="B14" s="7" t="str">
        <f>+'(skema1-7_2013 - 13pl)'!B14</f>
        <v>Holbæk Sygehus</v>
      </c>
      <c r="C14" s="99">
        <f>IF(DTD_13!C14=0,"-",DTD_14!C14/DTD_13!C14*100-100)</f>
        <v>4.9381496869419124</v>
      </c>
      <c r="D14" s="100">
        <f>IF(DTD_13!D14=0,"-",DTD_14!D14/DTD_13!D14*100-100)</f>
        <v>0</v>
      </c>
      <c r="E14" s="82">
        <f>IF(DTD_13!E14=0,"-",DTD_14!E14/DTD_13!E14*100-100)</f>
        <v>5.0174194925845654</v>
      </c>
      <c r="F14" s="82">
        <f>IF(DTD_13!F14=0,"-",DTD_14!F14/DTD_13!F14*100-100)</f>
        <v>-8.0698346230845033</v>
      </c>
      <c r="G14" s="94">
        <f>IF(DTD_13!G14=0,"-",DTD_14!G14/DTD_13!G14*100-100)</f>
        <v>5.9215953530505061</v>
      </c>
    </row>
    <row r="15" spans="1:7" ht="13.5" customHeight="1" x14ac:dyDescent="0.2">
      <c r="A15" s="75">
        <f>+'(skema1-7_2013 - 13pl)'!A15</f>
        <v>3830</v>
      </c>
      <c r="B15" s="7" t="str">
        <f>+'(skema1-7_2013 - 13pl)'!B15</f>
        <v>Næstved, Slagelse og Ringsted sygehuse</v>
      </c>
      <c r="C15" s="99">
        <f>IF(DTD_13!C15=0,"-",DTD_14!C15/DTD_13!C15*100-100)</f>
        <v>-6.0655975311760812E-3</v>
      </c>
      <c r="D15" s="100">
        <f>IF(DTD_13!D15=0,"-",DTD_14!D15/DTD_13!D15*100-100)</f>
        <v>0</v>
      </c>
      <c r="E15" s="82">
        <f>IF(DTD_13!E15=0,"-",DTD_14!E15/DTD_13!E15*100-100)</f>
        <v>-6.1266294697759349E-3</v>
      </c>
      <c r="F15" s="82">
        <f>IF(DTD_13!F15=0,"-",DTD_14!F15/DTD_13!F15*100-100)</f>
        <v>3.8696704286139862</v>
      </c>
      <c r="G15" s="94">
        <f>IF(DTD_13!G15=0,"-",DTD_14!G15/DTD_13!G15*100-100)</f>
        <v>-0.30289262279373474</v>
      </c>
    </row>
    <row r="16" spans="1:7" ht="13.5" customHeight="1" x14ac:dyDescent="0.2">
      <c r="A16" s="75">
        <f>+'(skema1-7_2013 - 13pl)'!A16</f>
        <v>3840</v>
      </c>
      <c r="B16" s="7" t="str">
        <f>+'(skema1-7_2013 - 13pl)'!B16</f>
        <v>Nykøbing Sygehus</v>
      </c>
      <c r="C16" s="99">
        <f>IF(DTD_13!C16=0,"-",DTD_14!C16/DTD_13!C16*100-100)</f>
        <v>7.8030859606910781</v>
      </c>
      <c r="D16" s="100">
        <f>IF(DTD_13!D16=0,"-",DTD_14!D16/DTD_13!D16*100-100)</f>
        <v>0</v>
      </c>
      <c r="E16" s="82">
        <f>IF(DTD_13!E16=0,"-",DTD_14!E16/DTD_13!E16*100-100)</f>
        <v>7.8754954510310711</v>
      </c>
      <c r="F16" s="82">
        <f>IF(DTD_13!F16=0,"-",DTD_14!F16/DTD_13!F16*100-100)</f>
        <v>-1.3654630588143988</v>
      </c>
      <c r="G16" s="94">
        <f>IF(DTD_13!G16=0,"-",DTD_14!G16/DTD_13!G16*100-100)</f>
        <v>8.1346742726976942</v>
      </c>
    </row>
    <row r="17" spans="1:7" ht="13.5" customHeight="1" x14ac:dyDescent="0.2">
      <c r="A17" s="75">
        <f>+'(skema1-7_2013 - 13pl)'!A17</f>
        <v>4202</v>
      </c>
      <c r="B17" s="7" t="str">
        <f>+'(skema1-7_2013 - 13pl)'!B17</f>
        <v>Odense Universitetshospital</v>
      </c>
      <c r="C17" s="99">
        <f>IF(DTD_13!C17=0,"-",DTD_14!C17/DTD_13!C17*100-100)</f>
        <v>1.705473584849841</v>
      </c>
      <c r="D17" s="100">
        <f>IF(DTD_13!D17=0,"-",DTD_14!D17/DTD_13!D17*100-100)</f>
        <v>-4.367254214284543</v>
      </c>
      <c r="E17" s="82">
        <f>IF(DTD_13!E17=0,"-",DTD_14!E17/DTD_13!E17*100-100)</f>
        <v>1.9258817941693422</v>
      </c>
      <c r="F17" s="82">
        <f>IF(DTD_13!F17=0,"-",DTD_14!F17/DTD_13!F17*100-100)</f>
        <v>13.082766366310921</v>
      </c>
      <c r="G17" s="94">
        <f>IF(DTD_13!G17=0,"-",DTD_14!G17/DTD_13!G17*100-100)</f>
        <v>0.73849610850997749</v>
      </c>
    </row>
    <row r="18" spans="1:7" ht="13.5" customHeight="1" x14ac:dyDescent="0.2">
      <c r="A18" s="75">
        <f>+'(skema1-7_2013 - 13pl)'!A18</f>
        <v>5000</v>
      </c>
      <c r="B18" s="7" t="str">
        <f>+'(skema1-7_2013 - 13pl)'!B18</f>
        <v>Sygehus Sønderjylland</v>
      </c>
      <c r="C18" s="99">
        <f>IF(DTD_13!C18=0,"-",DTD_14!C18/DTD_13!C18*100-100)</f>
        <v>-3.0035464566071823</v>
      </c>
      <c r="D18" s="100">
        <f>IF(DTD_13!D18=0,"-",DTD_14!D18/DTD_13!D18*100-100)</f>
        <v>-9.9909859415188436</v>
      </c>
      <c r="E18" s="82">
        <f>IF(DTD_13!E18=0,"-",DTD_14!E18/DTD_13!E18*100-100)</f>
        <v>-2.9767850688245119</v>
      </c>
      <c r="F18" s="82">
        <f>IF(DTD_13!F18=0,"-",DTD_14!F18/DTD_13!F18*100-100)</f>
        <v>8.3721922468638326</v>
      </c>
      <c r="G18" s="94">
        <f>IF(DTD_13!G18=0,"-",DTD_14!G18/DTD_13!G18*100-100)</f>
        <v>-3.7045100197276639</v>
      </c>
    </row>
    <row r="19" spans="1:7" ht="13.5" customHeight="1" x14ac:dyDescent="0.2">
      <c r="A19" s="75">
        <f>+'(skema1-7_2013 - 13pl)'!A19</f>
        <v>5501</v>
      </c>
      <c r="B19" s="7" t="str">
        <f>+'(skema1-7_2013 - 13pl)'!B19</f>
        <v>Sydvestjysk Sygehus</v>
      </c>
      <c r="C19" s="99">
        <f>IF(DTD_13!C19=0,"-",DTD_14!C19/DTD_13!C19*100-100)</f>
        <v>-1.996073608203119</v>
      </c>
      <c r="D19" s="100">
        <f>IF(DTD_13!D19=0,"-",DTD_14!D19/DTD_13!D19*100-100)</f>
        <v>1.1387700872673321</v>
      </c>
      <c r="E19" s="82">
        <f>IF(DTD_13!E19=0,"-",DTD_14!E19/DTD_13!E19*100-100)</f>
        <v>-2.0113995604921513</v>
      </c>
      <c r="F19" s="82">
        <f>IF(DTD_13!F19=0,"-",DTD_14!F19/DTD_13!F19*100-100)</f>
        <v>3.6311558379692315</v>
      </c>
      <c r="G19" s="94">
        <f>IF(DTD_13!G19=0,"-",DTD_14!G19/DTD_13!G19*100-100)</f>
        <v>-2.4974213013284441</v>
      </c>
    </row>
    <row r="20" spans="1:7" ht="13.5" customHeight="1" x14ac:dyDescent="0.2">
      <c r="A20" s="75">
        <f>+'(skema1-7_2013 - 13pl)'!A20</f>
        <v>6007</v>
      </c>
      <c r="B20" s="7" t="str">
        <f>+'(skema1-7_2013 - 13pl)'!B20</f>
        <v>Fredericia og Kolding sygehuse</v>
      </c>
      <c r="C20" s="99">
        <f>IF(DTD_13!C20=0,"-",DTD_14!C20/DTD_13!C20*100-100)</f>
        <v>1.5408150884241394</v>
      </c>
      <c r="D20" s="100">
        <f>IF(DTD_13!D20=0,"-",DTD_14!D20/DTD_13!D20*100-100)</f>
        <v>2.5864878608523156</v>
      </c>
      <c r="E20" s="82">
        <f>IF(DTD_13!E20=0,"-",DTD_14!E20/DTD_13!E20*100-100)</f>
        <v>1.5221016514330898</v>
      </c>
      <c r="F20" s="82">
        <f>IF(DTD_13!F20=0,"-",DTD_14!F20/DTD_13!F20*100-100)</f>
        <v>11.291853454146235</v>
      </c>
      <c r="G20" s="94">
        <f>IF(DTD_13!G20=0,"-",DTD_14!G20/DTD_13!G20*100-100)</f>
        <v>1.0187599373825122</v>
      </c>
    </row>
    <row r="21" spans="1:7" ht="13.5" customHeight="1" x14ac:dyDescent="0.2">
      <c r="A21" s="75">
        <f>+'(skema1-7_2013 - 13pl)'!A21</f>
        <v>6008</v>
      </c>
      <c r="B21" s="7" t="str">
        <f>+'(skema1-7_2013 - 13pl)'!B21</f>
        <v>Vejle-Give-Middelfart sygehuse</v>
      </c>
      <c r="C21" s="99">
        <f>IF(DTD_13!C21=0,"-",DTD_14!C21/DTD_13!C21*100-100)</f>
        <v>3.2906368688292957</v>
      </c>
      <c r="D21" s="100">
        <f>IF(DTD_13!D21=0,"-",DTD_14!D21/DTD_13!D21*100-100)</f>
        <v>2.4960561356861746</v>
      </c>
      <c r="E21" s="82">
        <f>IF(DTD_13!E21=0,"-",DTD_14!E21/DTD_13!E21*100-100)</f>
        <v>3.3202290829903944</v>
      </c>
      <c r="F21" s="82">
        <f>IF(DTD_13!F21=0,"-",DTD_14!F21/DTD_13!F21*100-100)</f>
        <v>18.688042835342998</v>
      </c>
      <c r="G21" s="94">
        <f>IF(DTD_13!G21=0,"-",DTD_14!G21/DTD_13!G21*100-100)</f>
        <v>0.51952499907783078</v>
      </c>
    </row>
    <row r="22" spans="1:7" ht="13.5" customHeight="1" x14ac:dyDescent="0.2">
      <c r="A22" s="75">
        <f>+'(skema1-7_2013 - 13pl)'!A22</f>
        <v>6013</v>
      </c>
      <c r="B22" s="7" t="str">
        <f>+'(skema1-7_2013 - 13pl)'!B22</f>
        <v>De Vestdanske Friklinikker, Give</v>
      </c>
      <c r="C22" s="99">
        <f>IF(DTD_13!C22=0,"-",DTD_14!C22/DTD_13!C22*100-100)</f>
        <v>-0.76781676491582118</v>
      </c>
      <c r="D22" s="100" t="str">
        <f>IF(DTD_13!D22=0,"-",DTD_14!D22/DTD_13!D22*100-100)</f>
        <v>-</v>
      </c>
      <c r="E22" s="82">
        <f>IF(DTD_13!E22=0,"-",DTD_14!E22/DTD_13!E22*100-100)</f>
        <v>-0.76781676491582118</v>
      </c>
      <c r="F22" s="82">
        <f>IF(DTD_13!F22=0,"-",DTD_14!F22/DTD_13!F22*100-100)</f>
        <v>77.895045279230573</v>
      </c>
      <c r="G22" s="94">
        <f>IF(DTD_13!G22=0,"-",DTD_14!G22/DTD_13!G22*100-100)</f>
        <v>-1.0243316167927929</v>
      </c>
    </row>
    <row r="23" spans="1:7" ht="13.5" customHeight="1" x14ac:dyDescent="0.2">
      <c r="A23" s="75">
        <f>+'(skema1-7_2013 - 13pl)'!A23</f>
        <v>6006</v>
      </c>
      <c r="B23" s="7" t="str">
        <f>+'(skema1-7_2013 - 13pl)'!B23</f>
        <v>Hospitalenheden Horsens</v>
      </c>
      <c r="C23" s="99">
        <f>IF(DTD_13!C23=0,"-",DTD_14!C23/DTD_13!C23*100-100)</f>
        <v>-0.63072767229314763</v>
      </c>
      <c r="D23" s="100">
        <f>IF(DTD_13!D23=0,"-",DTD_14!D23/DTD_13!D23*100-100)</f>
        <v>10.79189591455463</v>
      </c>
      <c r="E23" s="82">
        <f>IF(DTD_13!E23=0,"-",DTD_14!E23/DTD_13!E23*100-100)</f>
        <v>-0.70690725218477724</v>
      </c>
      <c r="F23" s="82">
        <f>IF(DTD_13!F23=0,"-",DTD_14!F23/DTD_13!F23*100-100)</f>
        <v>18.849957872730542</v>
      </c>
      <c r="G23" s="94">
        <f>IF(DTD_13!G23=0,"-",DTD_14!G23/DTD_13!G23*100-100)</f>
        <v>-1.3485888374508193</v>
      </c>
    </row>
    <row r="24" spans="1:7" ht="13.5" customHeight="1" x14ac:dyDescent="0.2">
      <c r="A24" s="75">
        <f>+'(skema1-7_2013 - 13pl)'!A24</f>
        <v>6650</v>
      </c>
      <c r="B24" s="7" t="str">
        <f>+'(skema1-7_2013 - 13pl)'!B24</f>
        <v>Hospitalsenheden Vest</v>
      </c>
      <c r="C24" s="99">
        <f>IF(DTD_13!C24=0,"-",DTD_14!C24/DTD_13!C24*100-100)</f>
        <v>2.2953891143825018</v>
      </c>
      <c r="D24" s="100">
        <f>IF(DTD_13!D24=0,"-",DTD_14!D24/DTD_13!D24*100-100)</f>
        <v>25.124623180796533</v>
      </c>
      <c r="E24" s="82">
        <f>IF(DTD_13!E24=0,"-",DTD_14!E24/DTD_13!E24*100-100)</f>
        <v>2.0723849739411833</v>
      </c>
      <c r="F24" s="82">
        <f>IF(DTD_13!F24=0,"-",DTD_14!F24/DTD_13!F24*100-100)</f>
        <v>17.710366161352084</v>
      </c>
      <c r="G24" s="94">
        <f>IF(DTD_13!G24=0,"-",DTD_14!G24/DTD_13!G24*100-100)</f>
        <v>0.49482855232190559</v>
      </c>
    </row>
    <row r="25" spans="1:7" ht="13.5" customHeight="1" x14ac:dyDescent="0.2">
      <c r="A25" s="75">
        <f>+'(skema1-7_2013 - 13pl)'!A25</f>
        <v>6620</v>
      </c>
      <c r="B25" s="7" t="str">
        <f>+'(skema1-7_2013 - 13pl)'!B25</f>
        <v>Aarhus Universitetshospital</v>
      </c>
      <c r="C25" s="99">
        <f>IF(DTD_13!C25=0,"-",DTD_14!C25/DTD_13!C25*100-100)</f>
        <v>-1.1567717036898557</v>
      </c>
      <c r="D25" s="100">
        <f>IF(DTD_13!D25=0,"-",DTD_14!D25/DTD_13!D25*100-100)</f>
        <v>-2.8854668641069594</v>
      </c>
      <c r="E25" s="82">
        <f>IF(DTD_13!E25=0,"-",DTD_14!E25/DTD_13!E25*100-100)</f>
        <v>-1.0882954963729929</v>
      </c>
      <c r="F25" s="82">
        <f>IF(DTD_13!F25=0,"-",DTD_14!F25/DTD_13!F25*100-100)</f>
        <v>10.282364666284366</v>
      </c>
      <c r="G25" s="94">
        <f>IF(DTD_13!G25=0,"-",DTD_14!G25/DTD_13!G25*100-100)</f>
        <v>-2.9024737522698132</v>
      </c>
    </row>
    <row r="26" spans="1:7" ht="13.5" customHeight="1" x14ac:dyDescent="0.2">
      <c r="A26" s="75">
        <f>+'(skema1-7_2013 - 13pl)'!A26</f>
        <v>7005</v>
      </c>
      <c r="B26" s="7" t="str">
        <f>+'(skema1-7_2013 - 13pl)'!B26</f>
        <v>Regionshospitalet Randers</v>
      </c>
      <c r="C26" s="99">
        <f>IF(DTD_13!C26=0,"-",DTD_14!C26/DTD_13!C26*100-100)</f>
        <v>3.1010020901003514</v>
      </c>
      <c r="D26" s="100">
        <f>IF(DTD_13!D26=0,"-",DTD_14!D26/DTD_13!D26*100-100)</f>
        <v>-302.92713384935666</v>
      </c>
      <c r="E26" s="82">
        <f>IF(DTD_13!E26=0,"-",DTD_14!E26/DTD_13!E26*100-100)</f>
        <v>3.2995201792479065</v>
      </c>
      <c r="F26" s="82">
        <f>IF(DTD_13!F26=0,"-",DTD_14!F26/DTD_13!F26*100-100)</f>
        <v>29.152838479325226</v>
      </c>
      <c r="G26" s="94">
        <f>IF(DTD_13!G26=0,"-",DTD_14!G26/DTD_13!G26*100-100)</f>
        <v>2.3448517972458376</v>
      </c>
    </row>
    <row r="27" spans="1:7" ht="13.5" customHeight="1" x14ac:dyDescent="0.2">
      <c r="A27" s="75">
        <f>+'(skema1-7_2013 - 13pl)'!A27</f>
        <v>6630</v>
      </c>
      <c r="B27" s="7" t="str">
        <f>+'(skema1-7_2013 - 13pl)'!B27</f>
        <v>Hospitalsenhed Midt</v>
      </c>
      <c r="C27" s="99">
        <f>IF(DTD_13!C27=0,"-",DTD_14!C27/DTD_13!C27*100-100)</f>
        <v>1.3588330417165935</v>
      </c>
      <c r="D27" s="100">
        <f>IF(DTD_13!D27=0,"-",DTD_14!D27/DTD_13!D27*100-100)</f>
        <v>4.1641313237668669</v>
      </c>
      <c r="E27" s="82">
        <f>IF(DTD_13!E27=0,"-",DTD_14!E27/DTD_13!E27*100-100)</f>
        <v>1.3137092375996815</v>
      </c>
      <c r="F27" s="82">
        <f>IF(DTD_13!F27=0,"-",DTD_14!F27/DTD_13!F27*100-100)</f>
        <v>4.3401655733645157</v>
      </c>
      <c r="G27" s="94">
        <f>IF(DTD_13!G27=0,"-",DTD_14!G27/DTD_13!G27*100-100)</f>
        <v>1.1319198159003463</v>
      </c>
    </row>
    <row r="28" spans="1:7" ht="13.5" customHeight="1" x14ac:dyDescent="0.2">
      <c r="A28" s="75">
        <f>+'(skema1-7_2013 - 13pl)'!A28</f>
        <v>7603</v>
      </c>
      <c r="B28" s="7" t="str">
        <f>+'(skema1-7_2013 - 13pl)'!B28</f>
        <v>Sygehus Thy - Mors</v>
      </c>
      <c r="C28" s="99">
        <f>IF(DTD_13!C28=0,"-",DTD_14!C28/DTD_13!C28*100-100)</f>
        <v>0.87970530689406701</v>
      </c>
      <c r="D28" s="100" t="str">
        <f>IF(DTD_13!D28=0,"-",DTD_14!D28/DTD_13!D28*100-100)</f>
        <v>-</v>
      </c>
      <c r="E28" s="82">
        <f>IF(DTD_13!E28=0,"-",DTD_14!E28/DTD_13!E28*100-100)</f>
        <v>0.87970530689406701</v>
      </c>
      <c r="F28" s="82">
        <f>IF(DTD_13!F28=0,"-",DTD_14!F28/DTD_13!F28*100-100)</f>
        <v>80.648758275898189</v>
      </c>
      <c r="G28" s="94">
        <f>IF(DTD_13!G28=0,"-",DTD_14!G28/DTD_13!G28*100-100)</f>
        <v>-0.40928810367347523</v>
      </c>
    </row>
    <row r="29" spans="1:7" ht="13.5" customHeight="1" x14ac:dyDescent="0.2">
      <c r="A29" s="75">
        <f>+'(skema1-7_2013 - 13pl)'!A29</f>
        <v>8001</v>
      </c>
      <c r="B29" s="7" t="str">
        <f>+'(skema1-7_2013 - 13pl)'!B29</f>
        <v>Aalborg Universitetshospital</v>
      </c>
      <c r="C29" s="99">
        <f>IF(DTD_13!C29=0,"-",DTD_14!C29/DTD_13!C29*100-100)</f>
        <v>-0.35396621619430846</v>
      </c>
      <c r="D29" s="100">
        <f>IF(DTD_13!D29=0,"-",DTD_14!D29/DTD_13!D29*100-100)</f>
        <v>21.669333581452463</v>
      </c>
      <c r="E29" s="82">
        <f>IF(DTD_13!E29=0,"-",DTD_14!E29/DTD_13!E29*100-100)</f>
        <v>-1.0089649618689691</v>
      </c>
      <c r="F29" s="82">
        <f>IF(DTD_13!F29=0,"-",DTD_14!F29/DTD_13!F29*100-100)</f>
        <v>16.725917617739412</v>
      </c>
      <c r="G29" s="94">
        <f>IF(DTD_13!G29=0,"-",DTD_14!G29/DTD_13!G29*100-100)</f>
        <v>-2.5619284862954714</v>
      </c>
    </row>
    <row r="30" spans="1:7" ht="13.5" customHeight="1" x14ac:dyDescent="0.2">
      <c r="A30" s="75">
        <f>+'(skema1-7_2013 - 13pl)'!A30</f>
        <v>8003</v>
      </c>
      <c r="B30" s="7" t="str">
        <f>+'(skema1-7_2013 - 13pl)'!B30</f>
        <v>Sygehus Vendsyssel</v>
      </c>
      <c r="C30" s="99">
        <f>IF(DTD_13!C30=0,"-",DTD_14!C30/DTD_13!C30*100-100)</f>
        <v>-2.8148493787323474</v>
      </c>
      <c r="D30" s="100">
        <f>IF(DTD_13!D30=0,"-",DTD_14!D30/DTD_13!D30*100-100)</f>
        <v>29.321627310277592</v>
      </c>
      <c r="E30" s="82">
        <f>IF(DTD_13!E30=0,"-",DTD_14!E30/DTD_13!E30*100-100)</f>
        <v>-2.891858873160686</v>
      </c>
      <c r="F30" s="82">
        <f>IF(DTD_13!F30=0,"-",DTD_14!F30/DTD_13!F30*100-100)</f>
        <v>-3.4997722491349066</v>
      </c>
      <c r="G30" s="94">
        <f>IF(DTD_13!G30=0,"-",DTD_14!G30/DTD_13!G30*100-100)</f>
        <v>-2.8679174327192101</v>
      </c>
    </row>
    <row r="31" spans="1:7" ht="13.5" customHeight="1" x14ac:dyDescent="0.2">
      <c r="A31" s="13"/>
      <c r="B31" s="13" t="s">
        <v>20</v>
      </c>
      <c r="C31" s="83">
        <f>IF(DTD_13!C31=0,"-",DTD_14!C31/DTD_13!C31*100-100)</f>
        <v>1.5688197633971157</v>
      </c>
      <c r="D31" s="83">
        <f>IF(DTD_13!D31=0,"-",DTD_14!D31/DTD_13!D31*100-100)</f>
        <v>3.1098829118273272</v>
      </c>
      <c r="E31" s="83">
        <f>IF(DTD_13!E31=0,"-",DTD_14!E31/DTD_13!E31*100-100)</f>
        <v>1.5304185751188442</v>
      </c>
      <c r="F31" s="83">
        <f>IF(DTD_13!F31=0,"-",DTD_14!F31/DTD_13!F31*100-100)</f>
        <v>11.031042162938931</v>
      </c>
      <c r="G31" s="96">
        <f>IF(DTD_13!G31=0,"-",DTD_14!G31/DTD_13!G31*100-100)</f>
        <v>0.54421247416867402</v>
      </c>
    </row>
    <row r="32" spans="1:7" ht="13.5" customHeight="1" x14ac:dyDescent="0.2">
      <c r="A32" s="37"/>
      <c r="B32" s="15"/>
    </row>
    <row r="33" spans="1:7" ht="13.5" customHeight="1" x14ac:dyDescent="0.2">
      <c r="A33" s="37"/>
      <c r="B33" s="17" t="s">
        <v>34</v>
      </c>
      <c r="C33" s="101">
        <f>IF(DTD_13!C33=0,"-",DTD_14!C33/DTD_13!C33*100-100)</f>
        <v>2.4180654358399352</v>
      </c>
      <c r="D33" s="101">
        <f>IF(DTD_13!D33=0,"-",DTD_14!D33/DTD_13!D33*100-100)</f>
        <v>4.732213970824219</v>
      </c>
      <c r="E33" s="101">
        <f>IF(DTD_13!E33=0,"-",DTD_14!E33/DTD_13!E33*100-100)</f>
        <v>2.3509406649545355</v>
      </c>
      <c r="F33" s="101">
        <f>IF(DTD_13!F33=0,"-",DTD_14!F33/DTD_13!F33*100-100)</f>
        <v>8.2846906338172062</v>
      </c>
      <c r="G33" s="102">
        <f>IF(DTD_13!G33=0,"-",DTD_14!G33/DTD_13!G33*100-100)</f>
        <v>1.6751746727906323</v>
      </c>
    </row>
    <row r="34" spans="1:7" ht="13.5" customHeight="1" x14ac:dyDescent="0.2">
      <c r="A34" s="37"/>
      <c r="B34" s="19" t="s">
        <v>35</v>
      </c>
      <c r="C34" s="103">
        <f>IF(DTD_13!C34=0,"-",DTD_14!C34/DTD_13!C34*100-100)</f>
        <v>4.9210774189269983</v>
      </c>
      <c r="D34" s="103">
        <f>IF(DTD_13!D34=0,"-",DTD_14!D34/DTD_13!D34*100-100)</f>
        <v>0</v>
      </c>
      <c r="E34" s="103">
        <f>IF(DTD_13!E34=0,"-",DTD_14!E34/DTD_13!E34*100-100)</f>
        <v>4.9893004417747733</v>
      </c>
      <c r="F34" s="103">
        <f>IF(DTD_13!F34=0,"-",DTD_14!F34/DTD_13!F34*100-100)</f>
        <v>13.475549867642172</v>
      </c>
      <c r="G34" s="104">
        <f>IF(DTD_13!G34=0,"-",DTD_14!G34/DTD_13!G34*100-100)</f>
        <v>4.18072395146487</v>
      </c>
    </row>
    <row r="35" spans="1:7" ht="13.5" customHeight="1" x14ac:dyDescent="0.2">
      <c r="A35" s="37"/>
      <c r="B35" s="19" t="s">
        <v>36</v>
      </c>
      <c r="C35" s="103">
        <f>IF(DTD_13!C35=0,"-",DTD_14!C35/DTD_13!C35*100-100)</f>
        <v>0.72644572219888914</v>
      </c>
      <c r="D35" s="103">
        <f>IF(DTD_13!D35=0,"-",DTD_14!D35/DTD_13!D35*100-100)</f>
        <v>-2.5337509581265465</v>
      </c>
      <c r="E35" s="103">
        <f>IF(DTD_13!E35=0,"-",DTD_14!E35/DTD_13!E35*100-100)</f>
        <v>0.80884263767553932</v>
      </c>
      <c r="F35" s="103">
        <f>IF(DTD_13!F35=0,"-",DTD_14!F35/DTD_13!F35*100-100)</f>
        <v>12.60626127924705</v>
      </c>
      <c r="G35" s="104">
        <f>IF(DTD_13!G35=0,"-",DTD_14!G35/DTD_13!G35*100-100)</f>
        <v>-0.36170208005412974</v>
      </c>
    </row>
    <row r="36" spans="1:7" ht="13.5" customHeight="1" x14ac:dyDescent="0.2">
      <c r="A36" s="37"/>
      <c r="B36" s="19" t="s">
        <v>37</v>
      </c>
      <c r="C36" s="103">
        <f>IF(DTD_13!C36=0,"-",DTD_14!C36/DTD_13!C36*100-100)</f>
        <v>0.20157614365636789</v>
      </c>
      <c r="D36" s="103">
        <f>IF(DTD_13!D36=0,"-",DTD_14!D36/DTD_13!D36*100-100)</f>
        <v>-0.66693808143195099</v>
      </c>
      <c r="E36" s="103">
        <f>IF(DTD_13!E36=0,"-",DTD_14!E36/DTD_13!E36*100-100)</f>
        <v>0.22338500319847299</v>
      </c>
      <c r="F36" s="103">
        <f>IF(DTD_13!F36=0,"-",DTD_14!F36/DTD_13!F36*100-100)</f>
        <v>11.446248974008654</v>
      </c>
      <c r="G36" s="104">
        <f>IF(DTD_13!G36=0,"-",DTD_14!G36/DTD_13!G36*100-100)</f>
        <v>-1.018617359832092</v>
      </c>
    </row>
    <row r="37" spans="1:7" ht="13.5" customHeight="1" x14ac:dyDescent="0.2">
      <c r="B37" s="20" t="s">
        <v>38</v>
      </c>
      <c r="C37" s="105">
        <f>IF(DTD_13!C37=0,"-",DTD_14!C37/DTD_13!C37*100-100)</f>
        <v>-0.67697911682962797</v>
      </c>
      <c r="D37" s="105">
        <f>IF(DTD_13!D37=0,"-",DTD_14!D37/DTD_13!D37*100-100)</f>
        <v>21.805746017207511</v>
      </c>
      <c r="E37" s="105">
        <f>IF(DTD_13!E37=0,"-",DTD_14!E37/DTD_13!E37*100-100)</f>
        <v>-1.1920753073228099</v>
      </c>
      <c r="F37" s="105">
        <f>IF(DTD_13!F37=0,"-",DTD_14!F37/DTD_13!F37*100-100)</f>
        <v>15.902270128410592</v>
      </c>
      <c r="G37" s="106">
        <f>IF(DTD_13!G37=0,"-",DTD_14!G37/DTD_13!G37*100-100)</f>
        <v>-2.4498624616889799</v>
      </c>
    </row>
    <row r="38" spans="1:7" ht="13.5" customHeight="1" x14ac:dyDescent="0.2">
      <c r="B38" s="13" t="s">
        <v>20</v>
      </c>
      <c r="C38" s="97">
        <f>IF(DTD_13!C38=0,"-",DTD_14!C38/DTD_13!C38*100-100)</f>
        <v>1.5688197633971157</v>
      </c>
      <c r="D38" s="97">
        <f>IF(DTD_13!D38=0,"-",DTD_14!D38/DTD_13!D38*100-100)</f>
        <v>3.1098829118273272</v>
      </c>
      <c r="E38" s="97">
        <f>IF(DTD_13!E38=0,"-",DTD_14!E38/DTD_13!E38*100-100)</f>
        <v>1.5304185751188442</v>
      </c>
      <c r="F38" s="97">
        <f>IF(DTD_13!F38=0,"-",DTD_14!F38/DTD_13!F38*100-100)</f>
        <v>11.031042162938903</v>
      </c>
      <c r="G38" s="98">
        <f>IF(DTD_13!G38=0,"-",DTD_14!G38/DTD_13!G38*100-100)</f>
        <v>0.54421247416867402</v>
      </c>
    </row>
    <row r="39" spans="1:7" ht="13.5" customHeight="1" x14ac:dyDescent="0.2"/>
    <row r="40" spans="1:7" ht="13.5" customHeight="1" x14ac:dyDescent="0.2"/>
    <row r="41" spans="1:7" ht="13.5" customHeight="1" x14ac:dyDescent="0.2"/>
    <row r="42" spans="1:7" ht="13.5" customHeight="1" x14ac:dyDescent="0.2"/>
    <row r="43" spans="1:7" ht="13.5" customHeight="1" x14ac:dyDescent="0.2"/>
    <row r="44" spans="1:7" ht="13.5" customHeight="1" x14ac:dyDescent="0.2"/>
    <row r="45" spans="1:7" ht="13.5" customHeight="1" x14ac:dyDescent="0.2"/>
    <row r="46" spans="1:7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83" orientation="landscape" horizontalDpi="300" verticalDpi="300" r:id="rId1"/>
  <headerFooter alignWithMargins="0">
    <oddHeader>&amp;CSide &amp;P /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/>
  </sheetViews>
  <sheetFormatPr defaultColWidth="8.85546875" defaultRowHeight="12" x14ac:dyDescent="0.2"/>
  <cols>
    <col min="1" max="1" width="8.5703125" style="107" customWidth="1"/>
    <col min="2" max="2" width="39.28515625" style="107" customWidth="1"/>
    <col min="3" max="9" width="12.85546875" style="107" customWidth="1"/>
    <col min="10" max="10" width="12.7109375" style="107" customWidth="1"/>
    <col min="11" max="16384" width="8.85546875" style="107"/>
  </cols>
  <sheetData>
    <row r="1" spans="1:14" ht="15.75" x14ac:dyDescent="0.25">
      <c r="A1" s="72"/>
    </row>
    <row r="2" spans="1:14" ht="13.5" customHeight="1" x14ac:dyDescent="0.2">
      <c r="A2" s="108" t="s">
        <v>148</v>
      </c>
    </row>
    <row r="3" spans="1:14" ht="13.5" customHeight="1" x14ac:dyDescent="0.2">
      <c r="A3" s="93" t="s">
        <v>46</v>
      </c>
    </row>
    <row r="4" spans="1:14" ht="54" customHeight="1" x14ac:dyDescent="0.2">
      <c r="A4" s="73" t="s">
        <v>12</v>
      </c>
      <c r="B4" s="73" t="s">
        <v>0</v>
      </c>
      <c r="C4" s="12" t="s">
        <v>31</v>
      </c>
      <c r="D4" s="12" t="s">
        <v>30</v>
      </c>
      <c r="E4" s="12" t="s">
        <v>41</v>
      </c>
      <c r="F4" s="12" t="s">
        <v>27</v>
      </c>
      <c r="G4" s="12" t="s">
        <v>32</v>
      </c>
      <c r="H4" s="12" t="s">
        <v>49</v>
      </c>
      <c r="I4" s="12" t="s">
        <v>39</v>
      </c>
    </row>
    <row r="5" spans="1:14" ht="13.5" customHeight="1" x14ac:dyDescent="0.2">
      <c r="A5" s="74">
        <f>+'(skema1-7_2013 - 13pl)'!A5</f>
        <v>1301</v>
      </c>
      <c r="B5" s="4" t="str">
        <f>+'(skema1-7_2013 - 13pl)'!B5</f>
        <v>Rigshospitalet</v>
      </c>
      <c r="C5" s="76">
        <v>4530909</v>
      </c>
      <c r="D5" s="29">
        <v>2294512</v>
      </c>
      <c r="E5" s="29">
        <f>C5+D5</f>
        <v>6825421</v>
      </c>
      <c r="F5" s="29">
        <v>471758</v>
      </c>
      <c r="G5" s="29">
        <v>9292.8325565718114</v>
      </c>
      <c r="H5" s="29"/>
      <c r="I5" s="29">
        <f>E5-SUM(F5:H5)</f>
        <v>6344370.1674434282</v>
      </c>
      <c r="J5" s="109"/>
      <c r="K5" s="109"/>
      <c r="L5" s="109"/>
      <c r="M5" s="272"/>
      <c r="N5" s="109"/>
    </row>
    <row r="6" spans="1:14" ht="13.5" customHeight="1" x14ac:dyDescent="0.2">
      <c r="A6" s="75">
        <f>+'(skema1-7_2013 - 13pl)'!A6</f>
        <v>1309</v>
      </c>
      <c r="B6" s="7" t="str">
        <f>+'(skema1-7_2013 - 13pl)'!B6</f>
        <v>Bispebjerg og Frederiksberg Hospital</v>
      </c>
      <c r="C6" s="76">
        <v>1770373</v>
      </c>
      <c r="D6" s="29">
        <v>954527</v>
      </c>
      <c r="E6" s="29">
        <f t="shared" ref="E6:E30" si="0">C6+D6</f>
        <v>2724900</v>
      </c>
      <c r="F6" s="29">
        <v>113906</v>
      </c>
      <c r="G6" s="29">
        <v>29593.544777122792</v>
      </c>
      <c r="H6" s="29"/>
      <c r="I6" s="29">
        <f t="shared" ref="I6:I30" si="1">E6-SUM(F6:H6)</f>
        <v>2581400.4552228772</v>
      </c>
      <c r="J6" s="109"/>
      <c r="K6" s="109"/>
      <c r="L6" s="109"/>
      <c r="M6" s="272"/>
      <c r="N6" s="109"/>
    </row>
    <row r="7" spans="1:14" ht="13.5" customHeight="1" x14ac:dyDescent="0.2">
      <c r="A7" s="75">
        <f>+'(skema1-7_2013 - 13pl)'!A7</f>
        <v>1330</v>
      </c>
      <c r="B7" s="7" t="str">
        <f>+'(skema1-7_2013 - 13pl)'!B7</f>
        <v>Amager og Hvidovre Hospital</v>
      </c>
      <c r="C7" s="76">
        <v>1961150</v>
      </c>
      <c r="D7" s="29">
        <v>803587</v>
      </c>
      <c r="E7" s="29">
        <f t="shared" si="0"/>
        <v>2764737</v>
      </c>
      <c r="F7" s="29">
        <v>43573</v>
      </c>
      <c r="G7" s="29">
        <v>21295.70075282082</v>
      </c>
      <c r="H7" s="29"/>
      <c r="I7" s="29">
        <f t="shared" si="1"/>
        <v>2699868.2992471792</v>
      </c>
      <c r="J7" s="109"/>
      <c r="K7" s="109"/>
      <c r="L7" s="109"/>
      <c r="M7" s="272"/>
      <c r="N7" s="109"/>
    </row>
    <row r="8" spans="1:14" ht="13.5" customHeight="1" x14ac:dyDescent="0.2">
      <c r="A8" s="75">
        <f>+'(skema1-7_2013 - 13pl)'!A8</f>
        <v>1501</v>
      </c>
      <c r="B8" s="7" t="str">
        <f>+'(skema1-7_2013 - 13pl)'!B8</f>
        <v>Gentofte Hospital</v>
      </c>
      <c r="C8" s="76">
        <v>765821</v>
      </c>
      <c r="D8" s="29">
        <v>675934</v>
      </c>
      <c r="E8" s="29">
        <f t="shared" si="0"/>
        <v>1441755</v>
      </c>
      <c r="F8" s="29">
        <v>125607</v>
      </c>
      <c r="G8" s="29">
        <v>1985.9617275154451</v>
      </c>
      <c r="H8" s="29"/>
      <c r="I8" s="29">
        <f t="shared" si="1"/>
        <v>1314162.0382724847</v>
      </c>
      <c r="J8" s="109"/>
      <c r="K8" s="109"/>
      <c r="L8" s="109"/>
      <c r="M8" s="272"/>
      <c r="N8" s="109"/>
    </row>
    <row r="9" spans="1:14" ht="13.5" customHeight="1" x14ac:dyDescent="0.2">
      <c r="A9" s="75">
        <f>+'(skema1-7_2013 - 13pl)'!A9</f>
        <v>1502</v>
      </c>
      <c r="B9" s="7" t="str">
        <f>+'(skema1-7_2013 - 13pl)'!B9</f>
        <v>Glostrup Hospital</v>
      </c>
      <c r="C9" s="76">
        <v>1051595</v>
      </c>
      <c r="D9" s="29">
        <v>895562</v>
      </c>
      <c r="E9" s="29">
        <f t="shared" si="0"/>
        <v>1947157</v>
      </c>
      <c r="F9" s="29">
        <v>326241</v>
      </c>
      <c r="G9" s="29">
        <v>6730.2791830253555</v>
      </c>
      <c r="H9" s="29"/>
      <c r="I9" s="29">
        <f t="shared" si="1"/>
        <v>1614185.7208169745</v>
      </c>
      <c r="J9" s="109"/>
      <c r="K9" s="109"/>
      <c r="L9" s="109"/>
      <c r="M9" s="272"/>
      <c r="N9" s="109"/>
    </row>
    <row r="10" spans="1:14" ht="13.5" customHeight="1" x14ac:dyDescent="0.2">
      <c r="A10" s="75">
        <f>+'(skema1-7_2013 - 13pl)'!A10</f>
        <v>1516</v>
      </c>
      <c r="B10" s="7" t="str">
        <f>+'(skema1-7_2013 - 13pl)'!B10</f>
        <v>Herlev Hospital</v>
      </c>
      <c r="C10" s="76">
        <v>2147031</v>
      </c>
      <c r="D10" s="29">
        <v>1692847</v>
      </c>
      <c r="E10" s="29">
        <f t="shared" si="0"/>
        <v>3839878</v>
      </c>
      <c r="F10" s="29">
        <v>362124</v>
      </c>
      <c r="G10" s="29">
        <v>6167.1580543983728</v>
      </c>
      <c r="H10" s="29"/>
      <c r="I10" s="29">
        <f t="shared" si="1"/>
        <v>3471586.8419456016</v>
      </c>
      <c r="J10" s="109"/>
      <c r="K10" s="109"/>
      <c r="L10" s="109"/>
      <c r="M10" s="272"/>
      <c r="N10" s="109"/>
    </row>
    <row r="11" spans="1:14" ht="13.5" customHeight="1" x14ac:dyDescent="0.2">
      <c r="A11" s="75">
        <f>+'(skema1-7_2013 - 13pl)'!A11</f>
        <v>2000</v>
      </c>
      <c r="B11" s="7" t="str">
        <f>+'(skema1-7_2013 - 13pl)'!B11</f>
        <v>Nordsjællands Hospital</v>
      </c>
      <c r="C11" s="76">
        <v>1627098</v>
      </c>
      <c r="D11" s="29">
        <v>787871</v>
      </c>
      <c r="E11" s="29">
        <f t="shared" si="0"/>
        <v>2414969</v>
      </c>
      <c r="F11" s="29">
        <v>81812</v>
      </c>
      <c r="G11" s="29">
        <v>4653.7490145333577</v>
      </c>
      <c r="H11" s="29"/>
      <c r="I11" s="29">
        <f t="shared" si="1"/>
        <v>2328503.2509854669</v>
      </c>
      <c r="J11" s="109"/>
      <c r="K11" s="109"/>
      <c r="L11" s="109"/>
      <c r="M11" s="272"/>
      <c r="N11" s="109"/>
    </row>
    <row r="12" spans="1:14" ht="13.5" customHeight="1" x14ac:dyDescent="0.2">
      <c r="A12" s="75">
        <f>+'(skema1-7_2013 - 13pl)'!A12</f>
        <v>4001</v>
      </c>
      <c r="B12" s="7" t="str">
        <f>+'(skema1-7_2013 - 13pl)'!B12</f>
        <v>Bornholms Hospital</v>
      </c>
      <c r="C12" s="76">
        <v>206203</v>
      </c>
      <c r="D12" s="29">
        <v>129710</v>
      </c>
      <c r="E12" s="29">
        <f t="shared" si="0"/>
        <v>335913</v>
      </c>
      <c r="F12" s="29">
        <v>14834</v>
      </c>
      <c r="G12" s="29">
        <v>585.67396837804699</v>
      </c>
      <c r="H12" s="29"/>
      <c r="I12" s="29">
        <f t="shared" si="1"/>
        <v>320493.32603162195</v>
      </c>
      <c r="J12" s="109"/>
      <c r="K12" s="109"/>
      <c r="L12" s="109"/>
      <c r="M12" s="272"/>
      <c r="N12" s="109"/>
    </row>
    <row r="13" spans="1:14" ht="13.5" customHeight="1" x14ac:dyDescent="0.2">
      <c r="A13" s="75">
        <f>+'(skema1-7_2013 - 13pl)'!A13</f>
        <v>3810</v>
      </c>
      <c r="B13" s="7" t="str">
        <f>+'(skema1-7_2013 - 13pl)'!B13</f>
        <v>Roskilde og Køge sygehuse</v>
      </c>
      <c r="C13" s="76">
        <v>1762358</v>
      </c>
      <c r="D13" s="29">
        <v>1316153</v>
      </c>
      <c r="E13" s="29">
        <f t="shared" si="0"/>
        <v>3078511</v>
      </c>
      <c r="F13" s="29">
        <v>363154</v>
      </c>
      <c r="G13" s="29">
        <v>-27606.846600705525</v>
      </c>
      <c r="H13" s="29"/>
      <c r="I13" s="29">
        <f t="shared" si="1"/>
        <v>2742963.8466007058</v>
      </c>
      <c r="J13" s="109"/>
      <c r="K13" s="109"/>
      <c r="L13" s="109"/>
      <c r="M13" s="272"/>
      <c r="N13" s="109"/>
    </row>
    <row r="14" spans="1:14" ht="13.5" customHeight="1" x14ac:dyDescent="0.2">
      <c r="A14" s="75">
        <f>+'(skema1-7_2013 - 13pl)'!A14</f>
        <v>3820</v>
      </c>
      <c r="B14" s="7" t="str">
        <f>+'(skema1-7_2013 - 13pl)'!B14</f>
        <v>Holbæk Sygehus</v>
      </c>
      <c r="C14" s="76">
        <v>747664</v>
      </c>
      <c r="D14" s="29">
        <v>392693</v>
      </c>
      <c r="E14" s="29">
        <f t="shared" si="0"/>
        <v>1140357</v>
      </c>
      <c r="F14" s="29">
        <v>47071</v>
      </c>
      <c r="G14" s="29">
        <v>-27718.316962571582</v>
      </c>
      <c r="H14" s="29"/>
      <c r="I14" s="29">
        <f t="shared" si="1"/>
        <v>1121004.3169625716</v>
      </c>
      <c r="J14" s="109"/>
      <c r="K14" s="109"/>
      <c r="L14" s="109"/>
      <c r="M14" s="272"/>
      <c r="N14" s="109"/>
    </row>
    <row r="15" spans="1:14" ht="13.5" customHeight="1" x14ac:dyDescent="0.2">
      <c r="A15" s="75">
        <f>+'(skema1-7_2013 - 13pl)'!A15</f>
        <v>3830</v>
      </c>
      <c r="B15" s="7" t="str">
        <f>+'(skema1-7_2013 - 13pl)'!B15</f>
        <v>Næstved, Slagelse og Ringsted sygehuse</v>
      </c>
      <c r="C15" s="76">
        <v>1627784</v>
      </c>
      <c r="D15" s="29">
        <v>1234898</v>
      </c>
      <c r="E15" s="29">
        <f t="shared" si="0"/>
        <v>2862682</v>
      </c>
      <c r="F15" s="29">
        <v>327199</v>
      </c>
      <c r="G15" s="29">
        <v>-34358.422442085342</v>
      </c>
      <c r="H15" s="29"/>
      <c r="I15" s="29">
        <f t="shared" si="1"/>
        <v>2569841.4224420851</v>
      </c>
      <c r="J15" s="109"/>
      <c r="K15" s="109"/>
      <c r="L15" s="109"/>
      <c r="M15" s="272"/>
      <c r="N15" s="109"/>
    </row>
    <row r="16" spans="1:14" ht="13.5" customHeight="1" x14ac:dyDescent="0.2">
      <c r="A16" s="75">
        <f>+'(skema1-7_2013 - 13pl)'!A16</f>
        <v>3840</v>
      </c>
      <c r="B16" s="7" t="str">
        <f>+'(skema1-7_2013 - 13pl)'!B16</f>
        <v>Nykøbing Sygehus</v>
      </c>
      <c r="C16" s="76">
        <v>637929</v>
      </c>
      <c r="D16" s="29">
        <v>181626</v>
      </c>
      <c r="E16" s="29">
        <f t="shared" si="0"/>
        <v>819555</v>
      </c>
      <c r="F16" s="29">
        <v>8274</v>
      </c>
      <c r="G16" s="29">
        <v>-17541.723801712506</v>
      </c>
      <c r="H16" s="29">
        <v>13116.868789954786</v>
      </c>
      <c r="I16" s="29">
        <f t="shared" si="1"/>
        <v>815705.8550117577</v>
      </c>
      <c r="J16" s="109"/>
      <c r="K16" s="109"/>
      <c r="L16" s="109"/>
      <c r="M16" s="272"/>
      <c r="N16" s="109"/>
    </row>
    <row r="17" spans="1:14" ht="13.5" customHeight="1" x14ac:dyDescent="0.2">
      <c r="A17" s="75">
        <f>+'(skema1-7_2013 - 13pl)'!A17</f>
        <v>4202</v>
      </c>
      <c r="B17" s="7" t="str">
        <f>+'(skema1-7_2013 - 13pl)'!B17</f>
        <v>Odense Universitetshospital</v>
      </c>
      <c r="C17" s="76">
        <v>3792489</v>
      </c>
      <c r="D17" s="29">
        <v>3053220</v>
      </c>
      <c r="E17" s="29">
        <f t="shared" si="0"/>
        <v>6845709</v>
      </c>
      <c r="F17" s="29">
        <v>603828</v>
      </c>
      <c r="G17" s="29">
        <v>10839.235278153792</v>
      </c>
      <c r="H17" s="29"/>
      <c r="I17" s="29">
        <f t="shared" si="1"/>
        <v>6231041.7647218462</v>
      </c>
      <c r="J17" s="109"/>
      <c r="K17" s="109"/>
      <c r="L17" s="109"/>
      <c r="M17" s="272"/>
      <c r="N17" s="109"/>
    </row>
    <row r="18" spans="1:14" ht="13.5" customHeight="1" x14ac:dyDescent="0.2">
      <c r="A18" s="75">
        <f>+'(skema1-7_2013 - 13pl)'!A18</f>
        <v>5000</v>
      </c>
      <c r="B18" s="7" t="str">
        <f>+'(skema1-7_2013 - 13pl)'!B18</f>
        <v>Sygehus Sønderjylland</v>
      </c>
      <c r="C18" s="76">
        <v>984741</v>
      </c>
      <c r="D18" s="29">
        <v>884618</v>
      </c>
      <c r="E18" s="29">
        <f t="shared" si="0"/>
        <v>1869359</v>
      </c>
      <c r="F18" s="29">
        <v>116888</v>
      </c>
      <c r="G18" s="29">
        <v>23804.265358252567</v>
      </c>
      <c r="H18" s="29">
        <v>0</v>
      </c>
      <c r="I18" s="29">
        <f t="shared" si="1"/>
        <v>1728666.7346417475</v>
      </c>
      <c r="J18" s="109"/>
      <c r="K18" s="109"/>
      <c r="L18" s="109"/>
      <c r="M18" s="272"/>
      <c r="N18" s="109"/>
    </row>
    <row r="19" spans="1:14" ht="13.5" customHeight="1" x14ac:dyDescent="0.2">
      <c r="A19" s="75">
        <f>+'(skema1-7_2013 - 13pl)'!A19</f>
        <v>5501</v>
      </c>
      <c r="B19" s="7" t="str">
        <f>+'(skema1-7_2013 - 13pl)'!B19</f>
        <v>Sydvestjysk Sygehus</v>
      </c>
      <c r="C19" s="76">
        <v>1030715</v>
      </c>
      <c r="D19" s="29">
        <v>828925</v>
      </c>
      <c r="E19" s="29">
        <f t="shared" si="0"/>
        <v>1859640</v>
      </c>
      <c r="F19" s="29">
        <v>132054</v>
      </c>
      <c r="G19" s="29">
        <v>2938.6721813788172</v>
      </c>
      <c r="H19" s="29"/>
      <c r="I19" s="29">
        <f t="shared" si="1"/>
        <v>1724647.3278186212</v>
      </c>
      <c r="J19" s="109"/>
      <c r="K19" s="109"/>
      <c r="L19" s="109"/>
      <c r="M19" s="272"/>
      <c r="N19" s="109"/>
    </row>
    <row r="20" spans="1:14" ht="13.5" customHeight="1" x14ac:dyDescent="0.2">
      <c r="A20" s="75">
        <f>+'(skema1-7_2013 - 13pl)'!A20</f>
        <v>6007</v>
      </c>
      <c r="B20" s="7" t="str">
        <f>+'(skema1-7_2013 - 13pl)'!B20</f>
        <v>Fredericia og Kolding sygehuse</v>
      </c>
      <c r="C20" s="76">
        <v>928938</v>
      </c>
      <c r="D20" s="29">
        <v>571963</v>
      </c>
      <c r="E20" s="29">
        <f t="shared" si="0"/>
        <v>1500901</v>
      </c>
      <c r="F20" s="29">
        <v>32476</v>
      </c>
      <c r="G20" s="29">
        <v>9257.5082560926676</v>
      </c>
      <c r="H20" s="29"/>
      <c r="I20" s="29">
        <f t="shared" si="1"/>
        <v>1459167.4917439073</v>
      </c>
      <c r="J20" s="109"/>
      <c r="K20" s="109"/>
      <c r="L20" s="109"/>
      <c r="M20" s="272"/>
      <c r="N20" s="109"/>
    </row>
    <row r="21" spans="1:14" ht="13.5" customHeight="1" x14ac:dyDescent="0.2">
      <c r="A21" s="75">
        <f>+'(skema1-7_2013 - 13pl)'!A21</f>
        <v>6008</v>
      </c>
      <c r="B21" s="7" t="str">
        <f>+'(skema1-7_2013 - 13pl)'!B21</f>
        <v>Vejle-Give-Middelfart sygehuse</v>
      </c>
      <c r="C21" s="76">
        <v>721838</v>
      </c>
      <c r="D21" s="29">
        <v>1260015</v>
      </c>
      <c r="E21" s="29">
        <f t="shared" si="0"/>
        <v>1981853</v>
      </c>
      <c r="F21" s="29">
        <v>316200</v>
      </c>
      <c r="G21" s="29">
        <v>996.87060946016572</v>
      </c>
      <c r="H21" s="29"/>
      <c r="I21" s="29">
        <f t="shared" si="1"/>
        <v>1664656.1293905398</v>
      </c>
      <c r="J21" s="109"/>
      <c r="K21" s="109"/>
      <c r="L21" s="109"/>
      <c r="M21" s="272"/>
      <c r="N21" s="109"/>
    </row>
    <row r="22" spans="1:14" ht="13.5" customHeight="1" x14ac:dyDescent="0.2">
      <c r="A22" s="75">
        <f>+'(skema1-7_2013 - 13pl)'!A22</f>
        <v>6013</v>
      </c>
      <c r="B22" s="7" t="str">
        <f>+'(skema1-7_2013 - 13pl)'!B22</f>
        <v>De Vestdanske Friklinikker, Give</v>
      </c>
      <c r="C22" s="76">
        <v>23029</v>
      </c>
      <c r="D22" s="29">
        <v>106428</v>
      </c>
      <c r="E22" s="29">
        <f t="shared" si="0"/>
        <v>129457</v>
      </c>
      <c r="F22" s="29">
        <v>3</v>
      </c>
      <c r="G22" s="29">
        <v>64.469905409736384</v>
      </c>
      <c r="H22" s="29"/>
      <c r="I22" s="29">
        <f t="shared" si="1"/>
        <v>129389.53009459027</v>
      </c>
      <c r="J22" s="109"/>
      <c r="K22" s="109"/>
      <c r="L22" s="109"/>
      <c r="M22" s="272"/>
      <c r="N22" s="109"/>
    </row>
    <row r="23" spans="1:14" ht="13.5" customHeight="1" x14ac:dyDescent="0.2">
      <c r="A23" s="75">
        <f>+'(skema1-7_2013 - 13pl)'!A23</f>
        <v>6006</v>
      </c>
      <c r="B23" s="7" t="str">
        <f>+'(skema1-7_2013 - 13pl)'!B23</f>
        <v>Hospitalenheden Horsens</v>
      </c>
      <c r="C23" s="76">
        <v>657420</v>
      </c>
      <c r="D23" s="29">
        <v>431111</v>
      </c>
      <c r="E23" s="29">
        <f t="shared" si="0"/>
        <v>1088531</v>
      </c>
      <c r="F23" s="29">
        <v>19297</v>
      </c>
      <c r="G23" s="29">
        <v>1858.0693107276456</v>
      </c>
      <c r="H23" s="29"/>
      <c r="I23" s="29">
        <f t="shared" si="1"/>
        <v>1067375.9306892725</v>
      </c>
      <c r="J23" s="109"/>
      <c r="K23" s="109"/>
      <c r="L23" s="109"/>
      <c r="M23" s="272"/>
      <c r="N23" s="109"/>
    </row>
    <row r="24" spans="1:14" ht="13.5" customHeight="1" x14ac:dyDescent="0.2">
      <c r="A24" s="75">
        <f>+'(skema1-7_2013 - 13pl)'!A24</f>
        <v>6650</v>
      </c>
      <c r="B24" s="7" t="str">
        <f>+'(skema1-7_2013 - 13pl)'!B24</f>
        <v>Hospitalsenheden Vest</v>
      </c>
      <c r="C24" s="76">
        <v>1336995</v>
      </c>
      <c r="D24" s="29">
        <v>1034146</v>
      </c>
      <c r="E24" s="29">
        <f t="shared" si="0"/>
        <v>2371141</v>
      </c>
      <c r="F24" s="29">
        <v>231222</v>
      </c>
      <c r="G24" s="29">
        <v>3801.6587436916307</v>
      </c>
      <c r="H24" s="29">
        <v>5670.706543925402</v>
      </c>
      <c r="I24" s="29">
        <f t="shared" si="1"/>
        <v>2130446.6347123832</v>
      </c>
      <c r="J24" s="109"/>
      <c r="K24" s="109"/>
      <c r="L24" s="109"/>
      <c r="M24" s="272"/>
      <c r="N24" s="109"/>
    </row>
    <row r="25" spans="1:14" ht="13.5" customHeight="1" x14ac:dyDescent="0.2">
      <c r="A25" s="75">
        <f>+'(skema1-7_2013 - 13pl)'!A25</f>
        <v>6620</v>
      </c>
      <c r="B25" s="7" t="str">
        <f>+'(skema1-7_2013 - 13pl)'!B25</f>
        <v>Aarhus Universitetshospital</v>
      </c>
      <c r="C25" s="76">
        <v>4058173</v>
      </c>
      <c r="D25" s="29">
        <v>2684734</v>
      </c>
      <c r="E25" s="29">
        <f t="shared" si="0"/>
        <v>6742907</v>
      </c>
      <c r="F25" s="29">
        <v>658593</v>
      </c>
      <c r="G25" s="29">
        <v>11611.812837942969</v>
      </c>
      <c r="H25" s="29">
        <v>94918.900353447825</v>
      </c>
      <c r="I25" s="29">
        <f t="shared" si="1"/>
        <v>5977783.286808609</v>
      </c>
      <c r="J25" s="109"/>
      <c r="K25" s="109"/>
      <c r="L25" s="109"/>
      <c r="M25" s="272"/>
      <c r="N25" s="109"/>
    </row>
    <row r="26" spans="1:14" ht="13.5" customHeight="1" x14ac:dyDescent="0.2">
      <c r="A26" s="75">
        <f>+'(skema1-7_2013 - 13pl)'!A26</f>
        <v>7005</v>
      </c>
      <c r="B26" s="7" t="str">
        <f>+'(skema1-7_2013 - 13pl)'!B26</f>
        <v>Regionshospitalet Randers</v>
      </c>
      <c r="C26" s="76">
        <v>707081</v>
      </c>
      <c r="D26" s="29">
        <v>458210</v>
      </c>
      <c r="E26" s="29">
        <f t="shared" si="0"/>
        <v>1165291</v>
      </c>
      <c r="F26" s="29">
        <v>18406</v>
      </c>
      <c r="G26" s="29">
        <v>2010.8135723508894</v>
      </c>
      <c r="H26" s="29"/>
      <c r="I26" s="29">
        <f t="shared" si="1"/>
        <v>1144874.1864276491</v>
      </c>
      <c r="J26" s="109"/>
      <c r="K26" s="109"/>
      <c r="L26" s="109"/>
      <c r="M26" s="272"/>
      <c r="N26" s="109"/>
    </row>
    <row r="27" spans="1:14" ht="13.5" customHeight="1" x14ac:dyDescent="0.2">
      <c r="A27" s="75">
        <f>+'(skema1-7_2013 - 13pl)'!A27</f>
        <v>6630</v>
      </c>
      <c r="B27" s="7" t="str">
        <f>+'(skema1-7_2013 - 13pl)'!B27</f>
        <v>Hospitalsenhed Midt</v>
      </c>
      <c r="C27" s="76">
        <v>1649773</v>
      </c>
      <c r="D27" s="29">
        <v>917372</v>
      </c>
      <c r="E27" s="29">
        <f t="shared" si="0"/>
        <v>2567145</v>
      </c>
      <c r="F27" s="29">
        <v>67993</v>
      </c>
      <c r="G27" s="29">
        <v>29712.17286434467</v>
      </c>
      <c r="H27" s="29">
        <v>0</v>
      </c>
      <c r="I27" s="29">
        <f t="shared" si="1"/>
        <v>2469439.8271356551</v>
      </c>
      <c r="J27" s="109"/>
      <c r="K27" s="109"/>
      <c r="L27" s="109"/>
      <c r="M27" s="272"/>
      <c r="N27" s="109"/>
    </row>
    <row r="28" spans="1:14" ht="13.5" customHeight="1" x14ac:dyDescent="0.2">
      <c r="A28" s="75">
        <f>+'(skema1-7_2013 - 13pl)'!A28</f>
        <v>7603</v>
      </c>
      <c r="B28" s="7" t="str">
        <f>+'(skema1-7_2013 - 13pl)'!B28</f>
        <v>Sygehus Thy - Mors</v>
      </c>
      <c r="C28" s="76">
        <v>268125</v>
      </c>
      <c r="D28" s="29">
        <v>126525</v>
      </c>
      <c r="E28" s="29">
        <f t="shared" si="0"/>
        <v>394650</v>
      </c>
      <c r="F28" s="29">
        <v>10015</v>
      </c>
      <c r="G28" s="29">
        <v>-2790.4864043926937</v>
      </c>
      <c r="H28" s="29">
        <f>-(-7535.677)</f>
        <v>7535.6769999999997</v>
      </c>
      <c r="I28" s="29">
        <f t="shared" si="1"/>
        <v>379889.80940439267</v>
      </c>
      <c r="J28" s="109"/>
      <c r="K28" s="109"/>
      <c r="L28" s="109"/>
      <c r="M28" s="272"/>
      <c r="N28" s="109"/>
    </row>
    <row r="29" spans="1:14" ht="13.5" customHeight="1" x14ac:dyDescent="0.2">
      <c r="A29" s="75">
        <f>+'(skema1-7_2013 - 13pl)'!A29</f>
        <v>8001</v>
      </c>
      <c r="B29" s="7" t="str">
        <f>+'(skema1-7_2013 - 13pl)'!B29</f>
        <v>Aalborg Universitetshospital</v>
      </c>
      <c r="C29" s="76">
        <v>2525121</v>
      </c>
      <c r="D29" s="29">
        <v>1706908</v>
      </c>
      <c r="E29" s="29">
        <f t="shared" si="0"/>
        <v>4232029</v>
      </c>
      <c r="F29" s="29">
        <v>282002</v>
      </c>
      <c r="G29" s="29">
        <v>9700.23503707489</v>
      </c>
      <c r="H29" s="29">
        <f>44516.6051482693-7535.677</f>
        <v>36980.928148269304</v>
      </c>
      <c r="I29" s="29">
        <f t="shared" si="1"/>
        <v>3903345.8368146559</v>
      </c>
      <c r="J29" s="109"/>
      <c r="K29" s="109"/>
      <c r="L29" s="109"/>
      <c r="M29" s="272"/>
      <c r="N29" s="109"/>
    </row>
    <row r="30" spans="1:14" ht="13.5" customHeight="1" x14ac:dyDescent="0.2">
      <c r="A30" s="75">
        <f>+'(skema1-7_2013 - 13pl)'!A30</f>
        <v>8003</v>
      </c>
      <c r="B30" s="7" t="str">
        <f>+'(skema1-7_2013 - 13pl)'!B30</f>
        <v>Sygehus Vendsyssel</v>
      </c>
      <c r="C30" s="76">
        <v>646721</v>
      </c>
      <c r="D30" s="29">
        <v>387082</v>
      </c>
      <c r="E30" s="29">
        <f t="shared" si="0"/>
        <v>1033803</v>
      </c>
      <c r="F30" s="29">
        <v>92827</v>
      </c>
      <c r="G30" s="29">
        <v>1827.9202852261951</v>
      </c>
      <c r="H30" s="29">
        <v>35441.770293752052</v>
      </c>
      <c r="I30" s="29">
        <f t="shared" si="1"/>
        <v>903706.30942102172</v>
      </c>
      <c r="J30" s="109"/>
      <c r="K30" s="109"/>
      <c r="L30" s="109"/>
      <c r="M30" s="272"/>
      <c r="N30" s="109"/>
    </row>
    <row r="31" spans="1:14" ht="13.5" customHeight="1" x14ac:dyDescent="0.2">
      <c r="A31" s="13"/>
      <c r="B31" s="13" t="s">
        <v>20</v>
      </c>
      <c r="C31" s="14">
        <f t="shared" ref="C31:I31" si="2">SUM(C5:C30)</f>
        <v>38167074</v>
      </c>
      <c r="D31" s="14">
        <f t="shared" si="2"/>
        <v>25811177</v>
      </c>
      <c r="E31" s="14">
        <f t="shared" si="2"/>
        <v>63978251</v>
      </c>
      <c r="F31" s="14">
        <f t="shared" si="2"/>
        <v>4867357</v>
      </c>
      <c r="G31" s="14">
        <f t="shared" si="2"/>
        <v>78712.808063004981</v>
      </c>
      <c r="H31" s="14">
        <f t="shared" si="2"/>
        <v>193664.85112934935</v>
      </c>
      <c r="I31" s="14">
        <f t="shared" si="2"/>
        <v>58838516.340807661</v>
      </c>
      <c r="J31" s="110"/>
      <c r="M31" s="110"/>
    </row>
    <row r="32" spans="1:14" ht="13.5" customHeight="1" x14ac:dyDescent="0.2">
      <c r="A32" s="37"/>
      <c r="B32" s="15"/>
      <c r="C32" s="16"/>
      <c r="D32" s="16"/>
      <c r="E32" s="16"/>
      <c r="F32" s="16"/>
      <c r="G32" s="16"/>
      <c r="H32" s="16"/>
      <c r="I32" s="16"/>
      <c r="J32" s="110"/>
      <c r="M32" s="110"/>
    </row>
    <row r="33" spans="1:13" ht="13.5" customHeight="1" x14ac:dyDescent="0.2">
      <c r="A33" s="37"/>
      <c r="B33" s="17" t="s">
        <v>34</v>
      </c>
      <c r="C33" s="18">
        <f t="shared" ref="C33:I33" si="3">SUM(C5:C12)</f>
        <v>14060180</v>
      </c>
      <c r="D33" s="18">
        <f t="shared" si="3"/>
        <v>8234550</v>
      </c>
      <c r="E33" s="18">
        <f t="shared" si="3"/>
        <v>22294730</v>
      </c>
      <c r="F33" s="18">
        <f t="shared" si="3"/>
        <v>1539855</v>
      </c>
      <c r="G33" s="18">
        <f t="shared" si="3"/>
        <v>80304.900034366001</v>
      </c>
      <c r="H33" s="18">
        <f t="shared" si="3"/>
        <v>0</v>
      </c>
      <c r="I33" s="6">
        <f t="shared" si="3"/>
        <v>20674570.099965636</v>
      </c>
      <c r="J33" s="110"/>
      <c r="M33" s="110"/>
    </row>
    <row r="34" spans="1:13" ht="13.5" customHeight="1" x14ac:dyDescent="0.2">
      <c r="A34" s="37"/>
      <c r="B34" s="19" t="s">
        <v>35</v>
      </c>
      <c r="C34" s="5">
        <f t="shared" ref="C34:I34" si="4">SUM(C13:C16)</f>
        <v>4775735</v>
      </c>
      <c r="D34" s="5">
        <f t="shared" si="4"/>
        <v>3125370</v>
      </c>
      <c r="E34" s="5">
        <f t="shared" si="4"/>
        <v>7901105</v>
      </c>
      <c r="F34" s="5">
        <f t="shared" si="4"/>
        <v>745698</v>
      </c>
      <c r="G34" s="5">
        <f t="shared" si="4"/>
        <v>-107225.30980707495</v>
      </c>
      <c r="H34" s="5">
        <f t="shared" si="4"/>
        <v>13116.868789954786</v>
      </c>
      <c r="I34" s="8">
        <f t="shared" si="4"/>
        <v>7249515.4410171201</v>
      </c>
      <c r="J34" s="110"/>
      <c r="M34" s="110"/>
    </row>
    <row r="35" spans="1:13" ht="13.5" customHeight="1" x14ac:dyDescent="0.2">
      <c r="A35" s="37"/>
      <c r="B35" s="19" t="s">
        <v>36</v>
      </c>
      <c r="C35" s="5">
        <f t="shared" ref="C35:I35" si="5">SUM(C17:C22)</f>
        <v>7481750</v>
      </c>
      <c r="D35" s="5">
        <f t="shared" si="5"/>
        <v>6705169</v>
      </c>
      <c r="E35" s="5">
        <f t="shared" si="5"/>
        <v>14186919</v>
      </c>
      <c r="F35" s="5">
        <f t="shared" si="5"/>
        <v>1201449</v>
      </c>
      <c r="G35" s="5">
        <f t="shared" si="5"/>
        <v>47901.021588747746</v>
      </c>
      <c r="H35" s="5">
        <f t="shared" si="5"/>
        <v>0</v>
      </c>
      <c r="I35" s="8">
        <f t="shared" si="5"/>
        <v>12937568.978411252</v>
      </c>
      <c r="J35" s="110"/>
      <c r="M35" s="110"/>
    </row>
    <row r="36" spans="1:13" ht="13.5" customHeight="1" x14ac:dyDescent="0.2">
      <c r="A36" s="37"/>
      <c r="B36" s="19" t="s">
        <v>37</v>
      </c>
      <c r="C36" s="5">
        <f t="shared" ref="C36:I36" si="6">SUM(C23:C27)</f>
        <v>8409442</v>
      </c>
      <c r="D36" s="5">
        <f t="shared" si="6"/>
        <v>5525573</v>
      </c>
      <c r="E36" s="5">
        <f t="shared" si="6"/>
        <v>13935015</v>
      </c>
      <c r="F36" s="5">
        <f t="shared" si="6"/>
        <v>995511</v>
      </c>
      <c r="G36" s="5">
        <f t="shared" si="6"/>
        <v>48994.527329057804</v>
      </c>
      <c r="H36" s="5">
        <f t="shared" si="6"/>
        <v>100589.60689737323</v>
      </c>
      <c r="I36" s="8">
        <f t="shared" si="6"/>
        <v>12789919.86577357</v>
      </c>
      <c r="J36" s="110"/>
      <c r="M36" s="110"/>
    </row>
    <row r="37" spans="1:13" ht="13.5" customHeight="1" x14ac:dyDescent="0.2">
      <c r="A37" s="38"/>
      <c r="B37" s="20" t="s">
        <v>38</v>
      </c>
      <c r="C37" s="10">
        <f t="shared" ref="C37:I37" si="7">+SUM(C28:C30)</f>
        <v>3439967</v>
      </c>
      <c r="D37" s="10">
        <f t="shared" si="7"/>
        <v>2220515</v>
      </c>
      <c r="E37" s="10">
        <f t="shared" si="7"/>
        <v>5660482</v>
      </c>
      <c r="F37" s="10">
        <f t="shared" si="7"/>
        <v>384844</v>
      </c>
      <c r="G37" s="10">
        <f t="shared" si="7"/>
        <v>8737.6689179083914</v>
      </c>
      <c r="H37" s="10">
        <f t="shared" si="7"/>
        <v>79958.375442021352</v>
      </c>
      <c r="I37" s="21">
        <f t="shared" si="7"/>
        <v>5186941.9556400701</v>
      </c>
      <c r="J37" s="110"/>
    </row>
    <row r="38" spans="1:13" ht="13.5" customHeight="1" x14ac:dyDescent="0.2">
      <c r="A38" s="38"/>
      <c r="B38" s="13" t="s">
        <v>20</v>
      </c>
      <c r="C38" s="22">
        <f>SUM(C33:C37)</f>
        <v>38167074</v>
      </c>
      <c r="D38" s="97">
        <f>SUM(D33:D37)</f>
        <v>25811177</v>
      </c>
      <c r="E38" s="22">
        <f>SUM(E33:E37)</f>
        <v>63978251</v>
      </c>
      <c r="F38" s="22">
        <f>SUM(F33:F37)</f>
        <v>4867357</v>
      </c>
      <c r="G38" s="22">
        <f t="shared" ref="G38:H38" si="8">SUM(G33:G37)</f>
        <v>78712.808063004981</v>
      </c>
      <c r="H38" s="22">
        <f t="shared" si="8"/>
        <v>193664.85112934938</v>
      </c>
      <c r="I38" s="23">
        <f>SUM(I33:I37)</f>
        <v>58838516.340807654</v>
      </c>
      <c r="J38" s="110"/>
    </row>
    <row r="39" spans="1:13" ht="13.5" customHeight="1" x14ac:dyDescent="0.2">
      <c r="J39" s="110"/>
    </row>
    <row r="40" spans="1:13" ht="13.5" customHeight="1" x14ac:dyDescent="0.2">
      <c r="J40" s="110"/>
    </row>
    <row r="41" spans="1:13" ht="13.5" customHeight="1" x14ac:dyDescent="0.2"/>
    <row r="42" spans="1:13" ht="13.5" customHeight="1" x14ac:dyDescent="0.2"/>
    <row r="43" spans="1:13" ht="13.5" customHeight="1" x14ac:dyDescent="0.2"/>
    <row r="44" spans="1:13" ht="13.5" customHeight="1" x14ac:dyDescent="0.2"/>
    <row r="45" spans="1:13" ht="13.5" customHeight="1" x14ac:dyDescent="0.2"/>
    <row r="46" spans="1:13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75" orientation="landscape" cellComments="asDisplayed" horizontalDpi="300" verticalDpi="300" r:id="rId1"/>
  <headerFooter alignWithMargins="0">
    <oddHeader>&amp;CSide &amp;P / &amp;N</oddHeader>
  </headerFooter>
  <ignoredErrors>
    <ignoredError sqref="C33:I3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/>
  </sheetViews>
  <sheetFormatPr defaultColWidth="8.85546875" defaultRowHeight="12" x14ac:dyDescent="0.2"/>
  <cols>
    <col min="1" max="1" width="8.5703125" style="107" customWidth="1"/>
    <col min="2" max="2" width="39.28515625" style="107" customWidth="1"/>
    <col min="3" max="9" width="12.85546875" style="107" customWidth="1"/>
    <col min="10" max="16384" width="8.85546875" style="107"/>
  </cols>
  <sheetData>
    <row r="1" spans="1:15" ht="15.75" x14ac:dyDescent="0.25">
      <c r="A1" s="72"/>
    </row>
    <row r="2" spans="1:15" ht="13.5" customHeight="1" x14ac:dyDescent="0.2">
      <c r="A2" s="108" t="s">
        <v>141</v>
      </c>
    </row>
    <row r="3" spans="1:15" ht="13.5" customHeight="1" x14ac:dyDescent="0.2">
      <c r="A3" s="93" t="s">
        <v>52</v>
      </c>
    </row>
    <row r="4" spans="1:15" ht="54" customHeight="1" x14ac:dyDescent="0.2">
      <c r="A4" s="73" t="s">
        <v>12</v>
      </c>
      <c r="B4" s="73" t="s">
        <v>0</v>
      </c>
      <c r="C4" s="12" t="s">
        <v>31</v>
      </c>
      <c r="D4" s="12" t="s">
        <v>30</v>
      </c>
      <c r="E4" s="12" t="s">
        <v>41</v>
      </c>
      <c r="F4" s="12" t="s">
        <v>27</v>
      </c>
      <c r="G4" s="12" t="s">
        <v>32</v>
      </c>
      <c r="H4" s="12" t="s">
        <v>49</v>
      </c>
      <c r="I4" s="12" t="s">
        <v>39</v>
      </c>
      <c r="K4" s="110"/>
      <c r="O4" s="110"/>
    </row>
    <row r="5" spans="1:15" ht="13.5" customHeight="1" x14ac:dyDescent="0.2">
      <c r="A5" s="74">
        <f>+'(skema1-7_2013 - 13pl)'!A5</f>
        <v>1301</v>
      </c>
      <c r="B5" s="4" t="str">
        <f>+'(skema1-7_2013 - 13pl)'!B5</f>
        <v>Rigshospitalet</v>
      </c>
      <c r="C5" s="76">
        <v>4646111</v>
      </c>
      <c r="D5" s="29">
        <v>2569989</v>
      </c>
      <c r="E5" s="29">
        <f>C5+D5</f>
        <v>7216100</v>
      </c>
      <c r="F5" s="29">
        <v>667253</v>
      </c>
      <c r="G5" s="29">
        <v>14773.120885282755</v>
      </c>
      <c r="H5" s="29">
        <v>0</v>
      </c>
      <c r="I5" s="29">
        <f>E5-SUM(F5:H5)-404</f>
        <v>6533669.8791147172</v>
      </c>
      <c r="J5" s="52"/>
      <c r="K5" s="111"/>
      <c r="L5" s="109"/>
      <c r="M5" s="109"/>
      <c r="N5" s="109"/>
      <c r="O5" s="272"/>
    </row>
    <row r="6" spans="1:15" ht="13.5" customHeight="1" x14ac:dyDescent="0.2">
      <c r="A6" s="75">
        <f>+'(skema1-7_2013 - 13pl)'!A6</f>
        <v>1309</v>
      </c>
      <c r="B6" s="7" t="str">
        <f>+'(skema1-7_2013 - 13pl)'!B6</f>
        <v>Bispebjerg og Frederiksberg Hospital</v>
      </c>
      <c r="C6" s="76">
        <v>1784400</v>
      </c>
      <c r="D6" s="29">
        <v>1069997</v>
      </c>
      <c r="E6" s="29">
        <f t="shared" ref="E6:E30" si="0">C6+D6</f>
        <v>2854397</v>
      </c>
      <c r="F6" s="29">
        <v>137254</v>
      </c>
      <c r="G6" s="29">
        <v>5063.7257086262107</v>
      </c>
      <c r="H6" s="29">
        <v>12.593448940269765</v>
      </c>
      <c r="I6" s="29">
        <f>E6-SUM(F6:H6)-36130</f>
        <v>2675936.6808424336</v>
      </c>
      <c r="J6" s="52"/>
      <c r="K6" s="111"/>
      <c r="L6" s="109"/>
      <c r="M6" s="109"/>
      <c r="N6" s="109"/>
      <c r="O6" s="272"/>
    </row>
    <row r="7" spans="1:15" ht="13.5" customHeight="1" x14ac:dyDescent="0.2">
      <c r="A7" s="75">
        <f>+'(skema1-7_2013 - 13pl)'!A7</f>
        <v>1330</v>
      </c>
      <c r="B7" s="7" t="str">
        <f>+'(skema1-7_2013 - 13pl)'!B7</f>
        <v>Amager og Hvidovre Hospital</v>
      </c>
      <c r="C7" s="76">
        <v>2034642</v>
      </c>
      <c r="D7" s="29">
        <v>897167</v>
      </c>
      <c r="E7" s="29">
        <f t="shared" si="0"/>
        <v>2931809</v>
      </c>
      <c r="F7" s="29">
        <v>44242</v>
      </c>
      <c r="G7" s="29">
        <v>23545.643390887883</v>
      </c>
      <c r="H7" s="29">
        <v>0</v>
      </c>
      <c r="I7" s="29">
        <f>E7-SUM(F7:H7)-44538</f>
        <v>2819483.3566091121</v>
      </c>
      <c r="J7" s="52"/>
      <c r="K7" s="111"/>
      <c r="L7" s="109"/>
      <c r="M7" s="109"/>
      <c r="N7" s="109"/>
      <c r="O7" s="272"/>
    </row>
    <row r="8" spans="1:15" ht="13.5" customHeight="1" x14ac:dyDescent="0.2">
      <c r="A8" s="75">
        <f>+'(skema1-7_2013 - 13pl)'!A8</f>
        <v>1501</v>
      </c>
      <c r="B8" s="7" t="str">
        <f>+'(skema1-7_2013 - 13pl)'!B8</f>
        <v>Gentofte Hospital</v>
      </c>
      <c r="C8" s="76">
        <v>762088</v>
      </c>
      <c r="D8" s="29">
        <v>788544</v>
      </c>
      <c r="E8" s="29">
        <f t="shared" si="0"/>
        <v>1550632</v>
      </c>
      <c r="F8" s="29">
        <v>146786</v>
      </c>
      <c r="G8" s="29">
        <v>2068.2793779352214</v>
      </c>
      <c r="H8" s="29">
        <v>25.800578034682083</v>
      </c>
      <c r="I8" s="29">
        <f>E8-SUM(F8:H8)-7581</f>
        <v>1394170.9200440301</v>
      </c>
      <c r="J8" s="52"/>
      <c r="K8" s="111"/>
      <c r="L8" s="109"/>
      <c r="M8" s="109"/>
      <c r="N8" s="109"/>
      <c r="O8" s="272"/>
    </row>
    <row r="9" spans="1:15" ht="13.5" customHeight="1" x14ac:dyDescent="0.2">
      <c r="A9" s="75">
        <f>+'(skema1-7_2013 - 13pl)'!A9</f>
        <v>1502</v>
      </c>
      <c r="B9" s="7" t="str">
        <f>+'(skema1-7_2013 - 13pl)'!B9</f>
        <v>Glostrup Hospital</v>
      </c>
      <c r="C9" s="76">
        <v>1070061</v>
      </c>
      <c r="D9" s="29">
        <v>970455</v>
      </c>
      <c r="E9" s="29">
        <f t="shared" si="0"/>
        <v>2040516</v>
      </c>
      <c r="F9" s="29">
        <v>342718</v>
      </c>
      <c r="G9" s="29">
        <v>13995.472618679982</v>
      </c>
      <c r="H9" s="29">
        <v>-67.516377649325634</v>
      </c>
      <c r="I9" s="29">
        <f>E9-SUM(F9:H9)-6003</f>
        <v>1677867.0437589693</v>
      </c>
      <c r="J9" s="52"/>
      <c r="K9" s="111"/>
      <c r="L9" s="109"/>
      <c r="M9" s="109"/>
      <c r="N9" s="109"/>
      <c r="O9" s="272"/>
    </row>
    <row r="10" spans="1:15" ht="13.5" customHeight="1" x14ac:dyDescent="0.2">
      <c r="A10" s="75">
        <f>+'(skema1-7_2013 - 13pl)'!A10</f>
        <v>1516</v>
      </c>
      <c r="B10" s="7" t="str">
        <f>+'(skema1-7_2013 - 13pl)'!B10</f>
        <v>Herlev Hospital</v>
      </c>
      <c r="C10" s="76">
        <v>2279492</v>
      </c>
      <c r="D10" s="29">
        <v>1996561</v>
      </c>
      <c r="E10" s="29">
        <f t="shared" si="0"/>
        <v>4276053</v>
      </c>
      <c r="F10" s="29">
        <v>571022</v>
      </c>
      <c r="G10" s="29">
        <v>6549.8606014051475</v>
      </c>
      <c r="H10" s="29">
        <v>0</v>
      </c>
      <c r="I10" s="29">
        <f>E10-SUM(F10:H10)-27205</f>
        <v>3671276.1393985949</v>
      </c>
      <c r="J10" s="52"/>
      <c r="K10" s="111"/>
      <c r="L10" s="109"/>
      <c r="M10" s="109"/>
      <c r="N10" s="109"/>
      <c r="O10" s="272"/>
    </row>
    <row r="11" spans="1:15" ht="13.5" customHeight="1" x14ac:dyDescent="0.2">
      <c r="A11" s="75">
        <f>+'(skema1-7_2013 - 13pl)'!A11</f>
        <v>2000</v>
      </c>
      <c r="B11" s="7" t="str">
        <f>+'(skema1-7_2013 - 13pl)'!B11</f>
        <v>Nordsjællands Hospital</v>
      </c>
      <c r="C11" s="76">
        <v>1743250</v>
      </c>
      <c r="D11" s="29">
        <v>895532</v>
      </c>
      <c r="E11" s="29">
        <f t="shared" si="0"/>
        <v>2638782</v>
      </c>
      <c r="F11" s="29">
        <v>92229</v>
      </c>
      <c r="G11" s="29">
        <v>4982.2183201364242</v>
      </c>
      <c r="H11" s="29">
        <v>-1756.6974951830441</v>
      </c>
      <c r="I11" s="29">
        <f>E11-SUM(F11:H11)-29782</f>
        <v>2513545.4791750466</v>
      </c>
      <c r="J11" s="52"/>
      <c r="K11" s="111"/>
      <c r="L11" s="109"/>
      <c r="M11" s="109"/>
      <c r="N11" s="109"/>
      <c r="O11" s="272"/>
    </row>
    <row r="12" spans="1:15" ht="13.5" customHeight="1" x14ac:dyDescent="0.2">
      <c r="A12" s="75">
        <f>+'(skema1-7_2013 - 13pl)'!A12</f>
        <v>4001</v>
      </c>
      <c r="B12" s="7" t="str">
        <f>+'(skema1-7_2013 - 13pl)'!B12</f>
        <v>Bornholms Hospital</v>
      </c>
      <c r="C12" s="76">
        <v>212814</v>
      </c>
      <c r="D12" s="29">
        <v>155405</v>
      </c>
      <c r="E12" s="29">
        <f t="shared" si="0"/>
        <v>368219</v>
      </c>
      <c r="F12" s="29">
        <v>31650</v>
      </c>
      <c r="G12" s="29">
        <v>604.875492440362</v>
      </c>
      <c r="H12" s="29"/>
      <c r="I12" s="29">
        <f>E12-SUM(F12:H12)-6309</f>
        <v>329655.12450755964</v>
      </c>
      <c r="J12" s="52"/>
      <c r="K12" s="111"/>
      <c r="M12" s="109"/>
      <c r="N12" s="109"/>
      <c r="O12" s="272"/>
    </row>
    <row r="13" spans="1:15" ht="13.5" customHeight="1" x14ac:dyDescent="0.2">
      <c r="A13" s="75">
        <f>+'(skema1-7_2013 - 13pl)'!A13</f>
        <v>3810</v>
      </c>
      <c r="B13" s="7" t="str">
        <f>+'(skema1-7_2013 - 13pl)'!B13</f>
        <v>Roskilde og Køge sygehuse</v>
      </c>
      <c r="C13" s="76">
        <v>1851941</v>
      </c>
      <c r="D13" s="29">
        <v>1541326</v>
      </c>
      <c r="E13" s="29">
        <f t="shared" si="0"/>
        <v>3393267</v>
      </c>
      <c r="F13" s="29">
        <v>462881</v>
      </c>
      <c r="G13" s="29">
        <v>-47858.978637801018</v>
      </c>
      <c r="H13" s="29"/>
      <c r="I13" s="29">
        <f t="shared" ref="I13:I30" si="1">E13-SUM(F13:H13)</f>
        <v>2978244.978637801</v>
      </c>
      <c r="J13" s="52"/>
      <c r="K13" s="111"/>
      <c r="M13" s="109"/>
      <c r="O13" s="272"/>
    </row>
    <row r="14" spans="1:15" ht="13.5" customHeight="1" x14ac:dyDescent="0.2">
      <c r="A14" s="75">
        <f>+'(skema1-7_2013 - 13pl)'!A14</f>
        <v>3820</v>
      </c>
      <c r="B14" s="7" t="str">
        <f>+'(skema1-7_2013 - 13pl)'!B14</f>
        <v>Holbæk Sygehus</v>
      </c>
      <c r="C14" s="76">
        <v>787571</v>
      </c>
      <c r="D14" s="29">
        <v>405369</v>
      </c>
      <c r="E14" s="29">
        <f t="shared" si="0"/>
        <v>1192940</v>
      </c>
      <c r="F14" s="29">
        <v>44045</v>
      </c>
      <c r="G14" s="29">
        <v>-27685.311644461937</v>
      </c>
      <c r="H14" s="29"/>
      <c r="I14" s="29">
        <f t="shared" si="1"/>
        <v>1176580.3116444619</v>
      </c>
      <c r="J14" s="52"/>
      <c r="K14" s="111"/>
      <c r="M14" s="109"/>
      <c r="O14" s="272"/>
    </row>
    <row r="15" spans="1:15" ht="13.5" customHeight="1" x14ac:dyDescent="0.2">
      <c r="A15" s="75">
        <f>+'(skema1-7_2013 - 13pl)'!A15</f>
        <v>3830</v>
      </c>
      <c r="B15" s="7" t="str">
        <f>+'(skema1-7_2013 - 13pl)'!B15</f>
        <v>Næstved, Slagelse og Ringsted sygehuse</v>
      </c>
      <c r="C15" s="76">
        <v>1686544</v>
      </c>
      <c r="D15" s="29">
        <v>1238483</v>
      </c>
      <c r="E15" s="29">
        <f t="shared" si="0"/>
        <v>2925027</v>
      </c>
      <c r="F15" s="29">
        <v>361785</v>
      </c>
      <c r="G15" s="29">
        <v>-32269.194589099148</v>
      </c>
      <c r="H15" s="29"/>
      <c r="I15" s="29">
        <f t="shared" si="1"/>
        <v>2595511.1945890989</v>
      </c>
      <c r="J15" s="52"/>
      <c r="K15" s="111"/>
      <c r="M15" s="109"/>
      <c r="O15" s="272"/>
    </row>
    <row r="16" spans="1:15" ht="13.5" customHeight="1" x14ac:dyDescent="0.2">
      <c r="A16" s="75">
        <f>+'(skema1-7_2013 - 13pl)'!A16</f>
        <v>3840</v>
      </c>
      <c r="B16" s="7" t="str">
        <f>+'(skema1-7_2013 - 13pl)'!B16</f>
        <v>Nykøbing Sygehus</v>
      </c>
      <c r="C16" s="76">
        <v>619740</v>
      </c>
      <c r="D16" s="29">
        <v>195022</v>
      </c>
      <c r="E16" s="29">
        <f t="shared" si="0"/>
        <v>814762</v>
      </c>
      <c r="F16" s="29">
        <v>11416</v>
      </c>
      <c r="G16" s="29">
        <v>-24366.106450391468</v>
      </c>
      <c r="H16" s="29"/>
      <c r="I16" s="29">
        <f t="shared" si="1"/>
        <v>827712.10645039147</v>
      </c>
      <c r="J16" s="52"/>
      <c r="K16" s="111"/>
      <c r="M16" s="109"/>
      <c r="O16" s="272"/>
    </row>
    <row r="17" spans="1:15" ht="13.5" customHeight="1" x14ac:dyDescent="0.2">
      <c r="A17" s="75">
        <f>+'(skema1-7_2013 - 13pl)'!A17</f>
        <v>4202</v>
      </c>
      <c r="B17" s="7" t="str">
        <f>+'(skema1-7_2013 - 13pl)'!B17</f>
        <v>Odense Universitetshospital</v>
      </c>
      <c r="C17" s="76">
        <v>3763027</v>
      </c>
      <c r="D17" s="29">
        <v>3276636</v>
      </c>
      <c r="E17" s="29">
        <f t="shared" si="0"/>
        <v>7039663</v>
      </c>
      <c r="F17" s="29">
        <v>694317</v>
      </c>
      <c r="G17" s="29">
        <v>10693.13983067777</v>
      </c>
      <c r="H17" s="29"/>
      <c r="I17" s="29">
        <f t="shared" si="1"/>
        <v>6334652.8601693222</v>
      </c>
      <c r="J17" s="52"/>
      <c r="K17" s="110"/>
      <c r="M17" s="109"/>
      <c r="O17" s="272"/>
    </row>
    <row r="18" spans="1:15" ht="13.5" customHeight="1" x14ac:dyDescent="0.2">
      <c r="A18" s="75">
        <f>+'(skema1-7_2013 - 13pl)'!A18</f>
        <v>5000</v>
      </c>
      <c r="B18" s="7" t="str">
        <f>+'(skema1-7_2013 - 13pl)'!B18</f>
        <v>Sygehus Sønderjylland</v>
      </c>
      <c r="C18" s="76">
        <v>973686</v>
      </c>
      <c r="D18" s="29">
        <v>910295</v>
      </c>
      <c r="E18" s="29">
        <f t="shared" si="0"/>
        <v>1883981</v>
      </c>
      <c r="F18" s="29">
        <v>125356</v>
      </c>
      <c r="G18" s="29">
        <v>2757.8156387079507</v>
      </c>
      <c r="H18" s="29">
        <v>0</v>
      </c>
      <c r="I18" s="29">
        <f t="shared" si="1"/>
        <v>1755867.184361292</v>
      </c>
      <c r="J18" s="52"/>
      <c r="K18" s="111"/>
      <c r="M18" s="109"/>
      <c r="O18" s="272"/>
    </row>
    <row r="19" spans="1:15" ht="13.5" customHeight="1" x14ac:dyDescent="0.2">
      <c r="A19" s="75">
        <f>+'(skema1-7_2013 - 13pl)'!A19</f>
        <v>5501</v>
      </c>
      <c r="B19" s="7" t="str">
        <f>+'(skema1-7_2013 - 13pl)'!B19</f>
        <v>Sydvestjysk Sygehus</v>
      </c>
      <c r="C19" s="76">
        <v>1044484</v>
      </c>
      <c r="D19" s="29">
        <v>887969</v>
      </c>
      <c r="E19" s="29">
        <f t="shared" si="0"/>
        <v>1932453</v>
      </c>
      <c r="F19" s="29">
        <v>143545</v>
      </c>
      <c r="G19" s="29">
        <v>2974.8215023308294</v>
      </c>
      <c r="H19" s="29"/>
      <c r="I19" s="29">
        <f t="shared" si="1"/>
        <v>1785933.1784976693</v>
      </c>
      <c r="J19" s="52"/>
      <c r="K19" s="111"/>
      <c r="M19" s="109"/>
      <c r="O19" s="272"/>
    </row>
    <row r="20" spans="1:15" ht="13.5" customHeight="1" x14ac:dyDescent="0.2">
      <c r="A20" s="75">
        <f>+'(skema1-7_2013 - 13pl)'!A20</f>
        <v>6007</v>
      </c>
      <c r="B20" s="7" t="str">
        <f>+'(skema1-7_2013 - 13pl)'!B20</f>
        <v>Fredericia og Kolding sygehuse</v>
      </c>
      <c r="C20" s="76">
        <v>903818</v>
      </c>
      <c r="D20" s="29">
        <v>597378</v>
      </c>
      <c r="E20" s="29">
        <f t="shared" si="0"/>
        <v>1501196</v>
      </c>
      <c r="F20" s="29">
        <v>42099</v>
      </c>
      <c r="G20" s="29">
        <v>11028.440619246219</v>
      </c>
      <c r="H20" s="29"/>
      <c r="I20" s="29">
        <f t="shared" si="1"/>
        <v>1448068.5593807539</v>
      </c>
      <c r="J20" s="52"/>
      <c r="K20" s="111"/>
      <c r="M20" s="109"/>
      <c r="O20" s="272"/>
    </row>
    <row r="21" spans="1:15" ht="13.5" customHeight="1" x14ac:dyDescent="0.2">
      <c r="A21" s="75">
        <f>+'(skema1-7_2013 - 13pl)'!A21</f>
        <v>6008</v>
      </c>
      <c r="B21" s="7" t="str">
        <f>+'(skema1-7_2013 - 13pl)'!B21</f>
        <v>Vejle-Give-Middelfart sygehuse</v>
      </c>
      <c r="C21" s="76">
        <v>763085</v>
      </c>
      <c r="D21" s="29">
        <v>1328677</v>
      </c>
      <c r="E21" s="29">
        <f t="shared" si="0"/>
        <v>2091762</v>
      </c>
      <c r="F21" s="29">
        <v>361119</v>
      </c>
      <c r="G21" s="29">
        <v>873.92829887289554</v>
      </c>
      <c r="H21" s="29"/>
      <c r="I21" s="29">
        <f t="shared" si="1"/>
        <v>1729769.0717011271</v>
      </c>
      <c r="J21" s="52"/>
      <c r="K21" s="111"/>
      <c r="M21" s="109"/>
      <c r="O21" s="272"/>
    </row>
    <row r="22" spans="1:15" ht="13.5" customHeight="1" x14ac:dyDescent="0.2">
      <c r="A22" s="75">
        <f>+'(skema1-7_2013 - 13pl)'!A22</f>
        <v>6013</v>
      </c>
      <c r="B22" s="7" t="str">
        <f>+'(skema1-7_2013 - 13pl)'!B22</f>
        <v>De Vestdanske Friklinikker, Give</v>
      </c>
      <c r="C22" s="76">
        <v>21829</v>
      </c>
      <c r="D22" s="29">
        <v>114069</v>
      </c>
      <c r="E22" s="29">
        <f t="shared" si="0"/>
        <v>135898</v>
      </c>
      <c r="F22" s="29">
        <v>0</v>
      </c>
      <c r="G22" s="29">
        <v>60.740695749300357</v>
      </c>
      <c r="H22" s="29"/>
      <c r="I22" s="29">
        <f t="shared" si="1"/>
        <v>135837.25930425071</v>
      </c>
      <c r="J22" s="52"/>
      <c r="K22" s="111"/>
      <c r="M22" s="109"/>
      <c r="O22" s="272"/>
    </row>
    <row r="23" spans="1:15" ht="13.5" customHeight="1" x14ac:dyDescent="0.2">
      <c r="A23" s="75">
        <f>+'(skema1-7_2013 - 13pl)'!A23</f>
        <v>6006</v>
      </c>
      <c r="B23" s="7" t="str">
        <f>+'(skema1-7_2013 - 13pl)'!B23</f>
        <v>Hospitalenheden Horsens</v>
      </c>
      <c r="C23" s="76">
        <v>709120</v>
      </c>
      <c r="D23" s="29">
        <v>450517</v>
      </c>
      <c r="E23" s="29">
        <f t="shared" si="0"/>
        <v>1159637</v>
      </c>
      <c r="F23" s="29">
        <v>26244</v>
      </c>
      <c r="G23" s="29">
        <v>2002.5277255957481</v>
      </c>
      <c r="H23" s="29"/>
      <c r="I23" s="29">
        <f t="shared" si="1"/>
        <v>1131390.4722744043</v>
      </c>
      <c r="J23" s="52"/>
      <c r="K23" s="111"/>
      <c r="M23" s="109"/>
      <c r="O23" s="272"/>
    </row>
    <row r="24" spans="1:15" ht="13.5" customHeight="1" x14ac:dyDescent="0.2">
      <c r="A24" s="75">
        <f>+'(skema1-7_2013 - 13pl)'!A24</f>
        <v>6650</v>
      </c>
      <c r="B24" s="7" t="str">
        <f>+'(skema1-7_2013 - 13pl)'!B24</f>
        <v>Hospitalsenheden Vest</v>
      </c>
      <c r="C24" s="76">
        <v>1328055</v>
      </c>
      <c r="D24" s="29">
        <v>1134000</v>
      </c>
      <c r="E24" s="29">
        <f t="shared" si="0"/>
        <v>2462055</v>
      </c>
      <c r="F24" s="29">
        <v>272459</v>
      </c>
      <c r="G24" s="29">
        <v>3779.6248718732968</v>
      </c>
      <c r="H24" s="29"/>
      <c r="I24" s="29">
        <f t="shared" si="1"/>
        <v>2185816.3751281267</v>
      </c>
      <c r="J24" s="52"/>
      <c r="K24" s="111"/>
      <c r="M24" s="109"/>
      <c r="O24" s="272"/>
    </row>
    <row r="25" spans="1:15" ht="13.5" customHeight="1" x14ac:dyDescent="0.2">
      <c r="A25" s="75">
        <f>+'(skema1-7_2013 - 13pl)'!A25</f>
        <v>6620</v>
      </c>
      <c r="B25" s="7" t="str">
        <f>+'(skema1-7_2013 - 13pl)'!B25</f>
        <v>Aarhus Universitetshospital</v>
      </c>
      <c r="C25" s="76">
        <v>4008872</v>
      </c>
      <c r="D25" s="29">
        <v>2942651</v>
      </c>
      <c r="E25" s="29">
        <f t="shared" si="0"/>
        <v>6951523</v>
      </c>
      <c r="F25" s="29">
        <v>783970</v>
      </c>
      <c r="G25" s="29">
        <v>11462.279920557979</v>
      </c>
      <c r="H25" s="29"/>
      <c r="I25" s="29">
        <f t="shared" si="1"/>
        <v>6156090.7200794425</v>
      </c>
      <c r="J25" s="52"/>
      <c r="K25" s="111"/>
      <c r="M25" s="109"/>
      <c r="O25" s="272"/>
    </row>
    <row r="26" spans="1:15" ht="13.5" customHeight="1" x14ac:dyDescent="0.2">
      <c r="A26" s="75">
        <f>+'(skema1-7_2013 - 13pl)'!A26</f>
        <v>7005</v>
      </c>
      <c r="B26" s="7" t="str">
        <f>+'(skema1-7_2013 - 13pl)'!B26</f>
        <v>Regionshospitalet Randers</v>
      </c>
      <c r="C26" s="76">
        <v>733487</v>
      </c>
      <c r="D26" s="29">
        <v>484528</v>
      </c>
      <c r="E26" s="29">
        <f t="shared" si="0"/>
        <v>1218015</v>
      </c>
      <c r="F26" s="29">
        <v>22376</v>
      </c>
      <c r="G26" s="29">
        <v>2083.1295728724217</v>
      </c>
      <c r="H26" s="29"/>
      <c r="I26" s="29">
        <f t="shared" si="1"/>
        <v>1193555.8704271275</v>
      </c>
      <c r="J26" s="52"/>
      <c r="K26" s="111"/>
      <c r="M26" s="109"/>
      <c r="O26" s="272"/>
    </row>
    <row r="27" spans="1:15" ht="13.5" customHeight="1" x14ac:dyDescent="0.2">
      <c r="A27" s="75">
        <f>+'(skema1-7_2013 - 13pl)'!A27</f>
        <v>6630</v>
      </c>
      <c r="B27" s="7" t="str">
        <f>+'(skema1-7_2013 - 13pl)'!B27</f>
        <v>Hospitalsenhed Midt</v>
      </c>
      <c r="C27" s="76">
        <v>1702942</v>
      </c>
      <c r="D27" s="29">
        <v>988739</v>
      </c>
      <c r="E27" s="29">
        <f t="shared" si="0"/>
        <v>2691681</v>
      </c>
      <c r="F27" s="29">
        <v>79186</v>
      </c>
      <c r="G27" s="29">
        <v>4841.7552803971339</v>
      </c>
      <c r="H27" s="29"/>
      <c r="I27" s="29">
        <f t="shared" si="1"/>
        <v>2607653.2447196031</v>
      </c>
      <c r="J27" s="52"/>
      <c r="K27" s="111"/>
      <c r="M27" s="109"/>
      <c r="O27" s="272"/>
    </row>
    <row r="28" spans="1:15" ht="13.5" customHeight="1" x14ac:dyDescent="0.2">
      <c r="A28" s="75">
        <f>+'(skema1-7_2013 - 13pl)'!A28</f>
        <v>7603</v>
      </c>
      <c r="B28" s="7" t="str">
        <f>+'(skema1-7_2013 - 13pl)'!B28</f>
        <v>Sygehus Thy - Mors</v>
      </c>
      <c r="C28" s="76">
        <v>256392</v>
      </c>
      <c r="D28" s="29">
        <v>131999</v>
      </c>
      <c r="E28" s="29">
        <f t="shared" si="0"/>
        <v>388391</v>
      </c>
      <c r="F28" s="29">
        <v>7883</v>
      </c>
      <c r="G28" s="29">
        <v>-7513.8104523869406</v>
      </c>
      <c r="H28" s="29">
        <v>9555.8989999999994</v>
      </c>
      <c r="I28" s="29">
        <f t="shared" si="1"/>
        <v>378465.91145238694</v>
      </c>
      <c r="J28" s="52"/>
      <c r="K28" s="111"/>
      <c r="M28" s="109"/>
      <c r="O28" s="272"/>
    </row>
    <row r="29" spans="1:15" ht="13.5" customHeight="1" x14ac:dyDescent="0.2">
      <c r="A29" s="75">
        <f>+'(skema1-7_2013 - 13pl)'!A29</f>
        <v>8001</v>
      </c>
      <c r="B29" s="7" t="str">
        <f>+'(skema1-7_2013 - 13pl)'!B29</f>
        <v>Aalborg Universitetshospital</v>
      </c>
      <c r="C29" s="76">
        <v>2521452</v>
      </c>
      <c r="D29" s="29">
        <v>1952521</v>
      </c>
      <c r="E29" s="29">
        <f t="shared" si="0"/>
        <v>4473973</v>
      </c>
      <c r="F29" s="29">
        <v>456835</v>
      </c>
      <c r="G29" s="29">
        <v>13825.730307639576</v>
      </c>
      <c r="H29" s="29">
        <v>-11562.473</v>
      </c>
      <c r="I29" s="29">
        <f>E29-SUM(F29:H29)</f>
        <v>4014874.7426923607</v>
      </c>
      <c r="J29" s="52"/>
      <c r="K29" s="111"/>
      <c r="M29" s="109"/>
      <c r="O29" s="272"/>
    </row>
    <row r="30" spans="1:15" ht="13.5" customHeight="1" x14ac:dyDescent="0.2">
      <c r="A30" s="75">
        <f>+'(skema1-7_2013 - 13pl)'!A30</f>
        <v>8003</v>
      </c>
      <c r="B30" s="7" t="str">
        <f>+'(skema1-7_2013 - 13pl)'!B30</f>
        <v>Sygehus Vendsyssel</v>
      </c>
      <c r="C30" s="76">
        <v>610344</v>
      </c>
      <c r="D30" s="29">
        <v>411025</v>
      </c>
      <c r="E30" s="29">
        <f t="shared" si="0"/>
        <v>1021369</v>
      </c>
      <c r="F30" s="29">
        <v>98776</v>
      </c>
      <c r="G30" s="29">
        <v>1726.2711142258486</v>
      </c>
      <c r="H30" s="29">
        <v>2006.5740000000001</v>
      </c>
      <c r="I30" s="29">
        <f t="shared" si="1"/>
        <v>918860.15488577413</v>
      </c>
      <c r="J30" s="52"/>
      <c r="K30" s="111"/>
      <c r="M30" s="109"/>
      <c r="O30" s="272"/>
    </row>
    <row r="31" spans="1:15" ht="13.5" customHeight="1" x14ac:dyDescent="0.2">
      <c r="A31" s="13"/>
      <c r="B31" s="13" t="s">
        <v>20</v>
      </c>
      <c r="C31" s="14">
        <f t="shared" ref="C31:I31" si="2">SUM(C5:C30)</f>
        <v>38819247</v>
      </c>
      <c r="D31" s="14">
        <f t="shared" si="2"/>
        <v>28334854</v>
      </c>
      <c r="E31" s="14">
        <f t="shared" si="2"/>
        <v>67154101</v>
      </c>
      <c r="F31" s="14">
        <f t="shared" si="2"/>
        <v>6027446</v>
      </c>
      <c r="G31" s="14">
        <f t="shared" si="2"/>
        <v>4.4383341446518898E-10</v>
      </c>
      <c r="H31" s="14">
        <f t="shared" si="2"/>
        <v>-1785.8198458574184</v>
      </c>
      <c r="I31" s="14">
        <f t="shared" si="2"/>
        <v>60970488.819845863</v>
      </c>
      <c r="J31" s="110"/>
      <c r="K31" s="110"/>
    </row>
    <row r="32" spans="1:15" ht="13.5" customHeight="1" x14ac:dyDescent="0.2">
      <c r="A32" s="37"/>
      <c r="B32" s="15"/>
      <c r="C32" s="16"/>
      <c r="D32" s="16"/>
      <c r="E32" s="16"/>
      <c r="F32" s="16"/>
      <c r="G32" s="16"/>
      <c r="H32" s="16"/>
      <c r="I32" s="16"/>
      <c r="J32" s="110"/>
      <c r="K32" s="110"/>
    </row>
    <row r="33" spans="1:11" ht="13.5" customHeight="1" x14ac:dyDescent="0.2">
      <c r="A33" s="37"/>
      <c r="B33" s="17" t="s">
        <v>34</v>
      </c>
      <c r="C33" s="18">
        <f t="shared" ref="C33:I33" si="3">SUM(C5:C12)</f>
        <v>14532858</v>
      </c>
      <c r="D33" s="18">
        <f t="shared" si="3"/>
        <v>9343650</v>
      </c>
      <c r="E33" s="18">
        <f t="shared" si="3"/>
        <v>23876508</v>
      </c>
      <c r="F33" s="18">
        <f t="shared" si="3"/>
        <v>2033154</v>
      </c>
      <c r="G33" s="18">
        <f t="shared" si="3"/>
        <v>71583.196395393985</v>
      </c>
      <c r="H33" s="18">
        <f t="shared" si="3"/>
        <v>-1785.8198458574179</v>
      </c>
      <c r="I33" s="6">
        <f t="shared" si="3"/>
        <v>21615604.623450462</v>
      </c>
      <c r="J33" s="110"/>
      <c r="K33" s="110"/>
    </row>
    <row r="34" spans="1:11" ht="13.5" customHeight="1" x14ac:dyDescent="0.2">
      <c r="A34" s="37"/>
      <c r="B34" s="19" t="s">
        <v>35</v>
      </c>
      <c r="C34" s="5">
        <f t="shared" ref="C34:I34" si="4">SUM(C13:C16)</f>
        <v>4945796</v>
      </c>
      <c r="D34" s="5">
        <f t="shared" si="4"/>
        <v>3380200</v>
      </c>
      <c r="E34" s="5">
        <f t="shared" si="4"/>
        <v>8325996</v>
      </c>
      <c r="F34" s="5">
        <f t="shared" si="4"/>
        <v>880127</v>
      </c>
      <c r="G34" s="5">
        <f t="shared" si="4"/>
        <v>-132179.59132175357</v>
      </c>
      <c r="H34" s="5">
        <f t="shared" si="4"/>
        <v>0</v>
      </c>
      <c r="I34" s="8">
        <f t="shared" si="4"/>
        <v>7578048.5913217533</v>
      </c>
      <c r="J34" s="110"/>
      <c r="K34" s="110"/>
    </row>
    <row r="35" spans="1:11" ht="13.5" customHeight="1" x14ac:dyDescent="0.2">
      <c r="A35" s="37"/>
      <c r="B35" s="19" t="s">
        <v>36</v>
      </c>
      <c r="C35" s="5">
        <f t="shared" ref="C35:I35" si="5">SUM(C17:C22)</f>
        <v>7469929</v>
      </c>
      <c r="D35" s="5">
        <f t="shared" si="5"/>
        <v>7115024</v>
      </c>
      <c r="E35" s="5">
        <f t="shared" si="5"/>
        <v>14584953</v>
      </c>
      <c r="F35" s="5">
        <f t="shared" si="5"/>
        <v>1366436</v>
      </c>
      <c r="G35" s="5">
        <f t="shared" si="5"/>
        <v>28388.886585584965</v>
      </c>
      <c r="H35" s="5">
        <f t="shared" si="5"/>
        <v>0</v>
      </c>
      <c r="I35" s="8">
        <f t="shared" si="5"/>
        <v>13190128.113414418</v>
      </c>
      <c r="J35" s="110"/>
      <c r="K35" s="110"/>
    </row>
    <row r="36" spans="1:11" ht="13.5" customHeight="1" x14ac:dyDescent="0.2">
      <c r="A36" s="37"/>
      <c r="B36" s="19" t="s">
        <v>37</v>
      </c>
      <c r="C36" s="5">
        <f t="shared" ref="C36:I36" si="6">SUM(C23:C27)</f>
        <v>8482476</v>
      </c>
      <c r="D36" s="5">
        <f t="shared" si="6"/>
        <v>6000435</v>
      </c>
      <c r="E36" s="5">
        <f t="shared" si="6"/>
        <v>14482911</v>
      </c>
      <c r="F36" s="5">
        <f t="shared" si="6"/>
        <v>1184235</v>
      </c>
      <c r="G36" s="5">
        <f t="shared" si="6"/>
        <v>24169.31737129658</v>
      </c>
      <c r="H36" s="5">
        <f t="shared" si="6"/>
        <v>0</v>
      </c>
      <c r="I36" s="8">
        <f t="shared" si="6"/>
        <v>13274506.682628702</v>
      </c>
      <c r="J36" s="110"/>
      <c r="K36" s="110"/>
    </row>
    <row r="37" spans="1:11" ht="13.5" customHeight="1" x14ac:dyDescent="0.2">
      <c r="A37" s="38"/>
      <c r="B37" s="20" t="s">
        <v>38</v>
      </c>
      <c r="C37" s="10">
        <f t="shared" ref="C37:I37" si="7">+SUM(C28:C30)</f>
        <v>3388188</v>
      </c>
      <c r="D37" s="10">
        <f t="shared" si="7"/>
        <v>2495545</v>
      </c>
      <c r="E37" s="10">
        <f t="shared" si="7"/>
        <v>5883733</v>
      </c>
      <c r="F37" s="10">
        <f t="shared" si="7"/>
        <v>563494</v>
      </c>
      <c r="G37" s="10">
        <f t="shared" si="7"/>
        <v>8038.1909694784845</v>
      </c>
      <c r="H37" s="10">
        <f t="shared" si="7"/>
        <v>0</v>
      </c>
      <c r="I37" s="21">
        <f t="shared" si="7"/>
        <v>5312200.8090305217</v>
      </c>
      <c r="J37" s="110"/>
      <c r="K37" s="110"/>
    </row>
    <row r="38" spans="1:11" ht="13.5" customHeight="1" x14ac:dyDescent="0.2">
      <c r="A38" s="38"/>
      <c r="B38" s="13" t="s">
        <v>20</v>
      </c>
      <c r="C38" s="22">
        <f>SUM(C33:C37)</f>
        <v>38819247</v>
      </c>
      <c r="D38" s="97">
        <f>SUM(D33:D37)</f>
        <v>28334854</v>
      </c>
      <c r="E38" s="22">
        <f>SUM(E33:E37)</f>
        <v>67154101</v>
      </c>
      <c r="F38" s="22">
        <f>SUM(F33:F37)</f>
        <v>6027446</v>
      </c>
      <c r="G38" s="22">
        <v>0</v>
      </c>
      <c r="H38" s="22">
        <f>SUM(H33:H37)</f>
        <v>-1785.8198458574179</v>
      </c>
      <c r="I38" s="23">
        <f>SUM(I33:I37)</f>
        <v>60970488.819845855</v>
      </c>
      <c r="J38" s="110"/>
      <c r="K38" s="110"/>
    </row>
    <row r="39" spans="1:11" ht="13.5" customHeight="1" x14ac:dyDescent="0.2">
      <c r="J39" s="110"/>
    </row>
    <row r="40" spans="1:11" ht="13.5" customHeight="1" x14ac:dyDescent="0.2">
      <c r="J40" s="110"/>
    </row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73" orientation="landscape" cellComments="asDisplayed" horizontalDpi="300" verticalDpi="300" r:id="rId1"/>
  <headerFooter alignWithMargins="0">
    <oddHeader>&amp;CSide &amp;P / &amp;N</oddHeader>
  </headerFooter>
  <ignoredErrors>
    <ignoredError sqref="C38:H38 C33:I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17</vt:i4>
      </vt:variant>
      <vt:variant>
        <vt:lpstr>Navngivne områder</vt:lpstr>
      </vt:variant>
      <vt:variant>
        <vt:i4>11</vt:i4>
      </vt:variant>
    </vt:vector>
  </HeadingPairs>
  <TitlesOfParts>
    <vt:vector size="28" baseType="lpstr">
      <vt:lpstr>(skema1-7_2013 - 13pl)</vt:lpstr>
      <vt:lpstr>Skema1-7_2013</vt:lpstr>
      <vt:lpstr>Skema1-7_2014</vt:lpstr>
      <vt:lpstr>Skema1-7_forskel</vt:lpstr>
      <vt:lpstr>DTD_13</vt:lpstr>
      <vt:lpstr>DTD_14</vt:lpstr>
      <vt:lpstr>DTD_forskel</vt:lpstr>
      <vt:lpstr>DRG_13</vt:lpstr>
      <vt:lpstr>DRG_14</vt:lpstr>
      <vt:lpstr>DRG_forskel</vt:lpstr>
      <vt:lpstr>produktivitet</vt:lpstr>
      <vt:lpstr>Dokumentation</vt:lpstr>
      <vt:lpstr>Medicin produktionssiden 2013</vt:lpstr>
      <vt:lpstr>Medicin produktionssiden 2014</vt:lpstr>
      <vt:lpstr>Regionsspecifikke korrektioner</vt:lpstr>
      <vt:lpstr>Ikke niveau-justeret DRG</vt:lpstr>
      <vt:lpstr>Ark1</vt:lpstr>
      <vt:lpstr>DRG_13!Print_Area</vt:lpstr>
      <vt:lpstr>DRG_14!Print_Area</vt:lpstr>
      <vt:lpstr>DRG_forskel!Print_Area</vt:lpstr>
      <vt:lpstr>DTD_13!Print_Area</vt:lpstr>
      <vt:lpstr>DTD_14!Print_Area</vt:lpstr>
      <vt:lpstr>DTD_forskel!Print_Area</vt:lpstr>
      <vt:lpstr>produktivitet!Print_Area</vt:lpstr>
      <vt:lpstr>'Skema1-7_2013'!Print_Area</vt:lpstr>
      <vt:lpstr>'Skema1-7_2014'!Print_Area</vt:lpstr>
      <vt:lpstr>'Skema1-7_forskel'!Print_Area</vt:lpstr>
      <vt:lpstr>produktivitet!SAM_07</vt:lpstr>
    </vt:vector>
  </TitlesOfParts>
  <Company>Indenrigs- og Sundhedsministeriet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raaj</dc:creator>
  <cp:lastModifiedBy>Lene Olsen</cp:lastModifiedBy>
  <cp:lastPrinted>2015-11-25T13:38:25Z</cp:lastPrinted>
  <dcterms:created xsi:type="dcterms:W3CDTF">2008-06-30T12:44:49Z</dcterms:created>
  <dcterms:modified xsi:type="dcterms:W3CDTF">2015-12-15T14:51:20Z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">
    <vt:lpwstr>C:\DOCUME~1\sumraaj\LOKALE~1\Temp\SJ20100421115435633 (DOK195446).XLSX</vt:lpwstr>
  </property>
  <property fmtid="{D5CDD505-2E9C-101B-9397-08002B2CF9AE}" pid="3" name="title">
    <vt:lpwstr>Produktivitet - endelig opgørelse - DATA OPDATERES HER! (DOC 1)</vt:lpwstr>
  </property>
  <property fmtid="{D5CDD505-2E9C-101B-9397-08002B2CF9AE}" pid="4" name="command">
    <vt:lpwstr/>
  </property>
</Properties>
</file>